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9800" windowHeight="11505" activeTab="6"/>
  </bookViews>
  <sheets>
    <sheet name="Freight Operating Ratios" sheetId="1" r:id="rId1"/>
    <sheet name="Sheet1" sheetId="2" r:id="rId2"/>
    <sheet name="Chart1" sheetId="3" r:id="rId3"/>
    <sheet name="Chart2" sheetId="4" r:id="rId4"/>
    <sheet name="Chart3" sheetId="5" r:id="rId5"/>
    <sheet name="Chart4" sheetId="6" r:id="rId6"/>
    <sheet name="Sheet4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<sst xmlns="http://schemas.openxmlformats.org/spreadsheetml/2006/main" count="282" uniqueCount="191">
  <si>
    <t>Milwaukee</t>
  </si>
  <si>
    <t>Great Northern</t>
  </si>
  <si>
    <t>Northern Pacific</t>
  </si>
  <si>
    <t>Burlington</t>
  </si>
  <si>
    <t>North Western</t>
  </si>
  <si>
    <t>UP</t>
  </si>
  <si>
    <t>Railroad Freight Operating Ratios</t>
  </si>
  <si>
    <t>Average 1957-1967</t>
  </si>
  <si>
    <t>MILW</t>
  </si>
  <si>
    <t>GN</t>
  </si>
  <si>
    <t>NP</t>
  </si>
  <si>
    <t>CBQ</t>
  </si>
  <si>
    <t>CNW</t>
  </si>
  <si>
    <t>Hill Lines average</t>
  </si>
  <si>
    <t>Comp. aver.</t>
  </si>
  <si>
    <t>Operating Ratios including both freight and passenger, Peer Railroads</t>
  </si>
  <si>
    <t>Operating Revenue</t>
  </si>
  <si>
    <t>Operating Expense</t>
  </si>
  <si>
    <t>Operating Ratio</t>
  </si>
  <si>
    <t>Combined Operating Ratios</t>
  </si>
  <si>
    <t>Northern Lines Con.OR</t>
  </si>
  <si>
    <t>Pro Forma Consolidated Milwaukee North Western</t>
  </si>
  <si>
    <t>Consolidated Revenue</t>
  </si>
  <si>
    <t>Consolidated Expenses</t>
  </si>
  <si>
    <t>Consolidated Operating Ratio</t>
  </si>
  <si>
    <t>MOW Expenditures</t>
  </si>
  <si>
    <t>Miles of Mainline</t>
  </si>
  <si>
    <t>Miles of Branchline</t>
  </si>
  <si>
    <t>Miles Mainline</t>
  </si>
  <si>
    <t>Miles Branchline</t>
  </si>
  <si>
    <t>Capital Expeditures</t>
  </si>
  <si>
    <t>Capital Expenditures</t>
  </si>
  <si>
    <t>Capital Expenditures (Road)</t>
  </si>
  <si>
    <t>Capital Expenditures (Equip)</t>
  </si>
  <si>
    <t>Miles Branchlne</t>
  </si>
  <si>
    <t>Depreciation</t>
  </si>
  <si>
    <t>MOW/Mile of Mainline</t>
  </si>
  <si>
    <t>Steam locomotive repairs</t>
  </si>
  <si>
    <t>Average wage, engineer</t>
  </si>
  <si>
    <t>Average wage, fireman</t>
  </si>
  <si>
    <t>Average wage, conductor</t>
  </si>
  <si>
    <t>Average wage, road brakeman</t>
  </si>
  <si>
    <t>Average wage, equip maint.</t>
  </si>
  <si>
    <t>Net Railway Operating Income</t>
  </si>
  <si>
    <t>Net Income after fixed charges</t>
  </si>
  <si>
    <t>% NROI of Operating Revenue</t>
  </si>
  <si>
    <t>Carloads</t>
  </si>
  <si>
    <t>Revenue Ton-miles</t>
  </si>
  <si>
    <t>Gross tons per train</t>
  </si>
  <si>
    <t>Diesel Locomotive Repairs</t>
  </si>
  <si>
    <t># of Steam Locomotives in Service</t>
  </si>
  <si>
    <t># Diesel Locomotives in Service</t>
  </si>
  <si>
    <t># of Electrics in Service</t>
  </si>
  <si>
    <t>Total # Locomotives in Service</t>
  </si>
  <si>
    <t>Total Locomotive repairs</t>
  </si>
  <si>
    <t>Total Steam Tractive Effort</t>
  </si>
  <si>
    <t>Total Diesel Tractive Effort</t>
  </si>
  <si>
    <t>Total Electric Tractive Effort</t>
  </si>
  <si>
    <t>Train Fuel Purchased</t>
  </si>
  <si>
    <t>Electric Power Purchased</t>
  </si>
  <si>
    <t>Revenue Tons carried</t>
  </si>
  <si>
    <t>Net Investment/Year/Diesel</t>
  </si>
  <si>
    <t>Net Investment/Year/Steam</t>
  </si>
  <si>
    <t>Net Charges to Steam (Deprec)</t>
  </si>
  <si>
    <t>Total Investment in Locomotives</t>
  </si>
  <si>
    <t>Total Fleet Tractive Effort</t>
  </si>
  <si>
    <t>Ton Miles (1,000)</t>
  </si>
  <si>
    <t>Ton Miles (1,000,000,000)</t>
  </si>
  <si>
    <t>Electric Repair cost per 1,000 lbs Tractive Effort</t>
  </si>
  <si>
    <t>Diesel Repair cost per 1,000 lbs Tractive Effort</t>
  </si>
  <si>
    <t>Steam Repair cost per 1,000 lbs Tractive Effort</t>
  </si>
  <si>
    <t>Total Fleet Repair cost per 1,000 lbs Tractive Effort</t>
  </si>
  <si>
    <t>Annual finance charges, Diesel-electric</t>
  </si>
  <si>
    <t>Total, Fuel, Maintenance, Finance</t>
  </si>
  <si>
    <t>Total accrued net investment -- Diesel</t>
  </si>
  <si>
    <t>Fuel cost per revenue ton</t>
  </si>
  <si>
    <t>No Employees in Equip Maint.</t>
  </si>
  <si>
    <t>Wages of Employees in Equip. Maint.</t>
  </si>
  <si>
    <t>Maintenance cost revenue ton</t>
  </si>
  <si>
    <t>Finance charge per revenue ton</t>
  </si>
  <si>
    <t>Total Charges per revenue ton</t>
  </si>
  <si>
    <t>Fuel cost per 1000 ton-miles</t>
  </si>
  <si>
    <t>Inflation Factor</t>
  </si>
  <si>
    <t>Inlfation factor .5</t>
  </si>
  <si>
    <t>Accumulated inflation</t>
  </si>
  <si>
    <t>Inflation actor, total fleet repair cost per 1000 lbs tractive effort, 1944$</t>
  </si>
  <si>
    <t>Inflation actor, Steam repair cost per 1000 lbs tractive effort, 1944 $</t>
  </si>
  <si>
    <t>Diesel</t>
  </si>
  <si>
    <t>Electric</t>
  </si>
  <si>
    <t>Operating Revenue per 10 Revenue Tons</t>
  </si>
  <si>
    <t>Operating Revenue Index</t>
  </si>
  <si>
    <t>Operating Expense Index</t>
  </si>
  <si>
    <t>Total Fuel, Loco Maint., Financing index</t>
  </si>
  <si>
    <t>MOW Expenditures Index</t>
  </si>
  <si>
    <t>Finance charge per revenue ton at 7%</t>
  </si>
  <si>
    <t>Annual finance charges, Diesel-electric at 7%</t>
  </si>
  <si>
    <t>Total, Fuel, Maintenance, Finance at 7%</t>
  </si>
  <si>
    <t>Total Charges per revenue ton at 7%</t>
  </si>
  <si>
    <t>Total Fuel and Maintenance Charges</t>
  </si>
  <si>
    <t>Op Rev.</t>
  </si>
  <si>
    <t>MOW</t>
  </si>
  <si>
    <t>Fuel,MaintFinanc</t>
  </si>
  <si>
    <t>Rev Tons</t>
  </si>
  <si>
    <t>Op Exp</t>
  </si>
  <si>
    <t>Fuel</t>
  </si>
  <si>
    <t>Main</t>
  </si>
  <si>
    <t>1948/1962</t>
  </si>
  <si>
    <t>1945/1962</t>
  </si>
  <si>
    <t>=</t>
  </si>
  <si>
    <t>1945 dollars</t>
  </si>
  <si>
    <t>1962 dollars</t>
  </si>
  <si>
    <t>Total diesel costs</t>
  </si>
  <si>
    <t>1947 constant $</t>
  </si>
  <si>
    <t>revenue</t>
  </si>
  <si>
    <t>MP15AC</t>
  </si>
  <si>
    <t>SD-40-2</t>
  </si>
  <si>
    <t>Total locomotive Repair Costs</t>
  </si>
  <si>
    <t>Total Fuel Cost</t>
  </si>
  <si>
    <t>Financing Charges</t>
  </si>
  <si>
    <t>Net Tons</t>
  </si>
  <si>
    <t>Current dollars 1945</t>
  </si>
  <si>
    <t>Revenue Ton Miles 1,000 mi.</t>
  </si>
  <si>
    <t>Conversion factor</t>
  </si>
  <si>
    <t>1945 costs</t>
  </si>
  <si>
    <t>1962 costs</t>
  </si>
  <si>
    <t>Cost per net ton</t>
  </si>
  <si>
    <t>Cost per net ton at 1945</t>
  </si>
  <si>
    <t>Cost per Revenue ton miles</t>
  </si>
  <si>
    <t>Cost/Net Ton</t>
  </si>
  <si>
    <t>Cost/ton-mile</t>
  </si>
  <si>
    <t>Savings</t>
  </si>
  <si>
    <t>Added</t>
  </si>
  <si>
    <t>net tons</t>
  </si>
  <si>
    <t>Percent increase in equip maint wages</t>
  </si>
  <si>
    <t>Accumulated percentage increase</t>
  </si>
  <si>
    <t>Equip Maint. Employees</t>
  </si>
  <si>
    <t>Accumulated Equip Maint Employess % changes</t>
  </si>
  <si>
    <t>Electric Power Cost per 1000 lbs tractive effort</t>
  </si>
  <si>
    <t>Train Fuel per 1000 lbs tractive effort</t>
  </si>
  <si>
    <t>Ton-miles revenue freight</t>
  </si>
  <si>
    <t>% tractive effort Electrics to Fleet</t>
  </si>
  <si>
    <t>Estimated Electric Maint Cost total</t>
  </si>
  <si>
    <t>Total electic cost, power plus maintenance</t>
  </si>
  <si>
    <t>Total Fuel and Maintenance Charges minus Electrification</t>
  </si>
  <si>
    <t>Total Fuel, Maintenance, Finance minus Electrification</t>
  </si>
  <si>
    <t>Total Non Electric Fleet cost per lb tractive effort</t>
  </si>
  <si>
    <t>Totl Electric Fleet Cost per 1lbs tractive effort</t>
  </si>
  <si>
    <t>Total Adj cost Non-elec fleet</t>
  </si>
  <si>
    <t>Total RR Operating Expenses -Loco maint, repair, finance adju to 1944 dollars</t>
  </si>
  <si>
    <t>Total adj Electric fleet cost 1944 Dollars</t>
  </si>
  <si>
    <t>1944 DOLLARS</t>
  </si>
  <si>
    <t>% change to 1944</t>
  </si>
  <si>
    <t>Total Non Electric Fleet -- loco maint, repair, finance % of 1944</t>
  </si>
  <si>
    <t>Oper Reven % change to 1944</t>
  </si>
  <si>
    <t>Total elect fleet costs 1944 %</t>
  </si>
  <si>
    <t>Total RR Operating Expenses minus-Loco maint, repair, finance</t>
  </si>
  <si>
    <t>Total Fleet OperatingCost</t>
  </si>
  <si>
    <t>Total Fleet Minus Electrification</t>
  </si>
  <si>
    <t>Operating Cost, Fleet (Minus electrification) per 1,000 ton miles</t>
  </si>
  <si>
    <t>Inlfation adjusted</t>
  </si>
  <si>
    <t>Inflation adjusted</t>
  </si>
  <si>
    <t>Ton Miles (1,000) ( Fleet) minus electrification</t>
  </si>
  <si>
    <t>Inflation adjusted Revenues/1000 ton-miles</t>
  </si>
  <si>
    <t>Inlfation adjusted Operating Expenses/1000 ton-miles</t>
  </si>
  <si>
    <t>Four year average Operating cost/1000 ton-miles</t>
  </si>
  <si>
    <t>Train enginemen</t>
  </si>
  <si>
    <t>Trainmen</t>
  </si>
  <si>
    <t>Station employees</t>
  </si>
  <si>
    <t>Enginehouse expenses -- train</t>
  </si>
  <si>
    <t>Inlfation adjusted 1944 $ Train enginement cost per 1000 ton-miles</t>
  </si>
  <si>
    <t>1944 dollars</t>
  </si>
  <si>
    <t>1944 $</t>
  </si>
  <si>
    <t>Total crew cost/1000 ton mile</t>
  </si>
  <si>
    <t>Total OC and train crew</t>
  </si>
  <si>
    <t>Per 1000 gross tons</t>
  </si>
  <si>
    <t>Train Fuel Purchased inflation adjusted</t>
  </si>
  <si>
    <t>Train fuel inflation accumulated</t>
  </si>
  <si>
    <t>Total adjusted fleet operating cost</t>
  </si>
  <si>
    <t>Inlfation adjusted 2</t>
  </si>
  <si>
    <t>Inlfation adjusted locomotive repairs</t>
  </si>
  <si>
    <t>Water cost</t>
  </si>
  <si>
    <t>Lubricant cost</t>
  </si>
  <si>
    <t>Adjusted 1960</t>
  </si>
  <si>
    <t>Total lubricant and water cost</t>
  </si>
  <si>
    <t>Cost of Fuel</t>
  </si>
  <si>
    <t>Ton Miles</t>
  </si>
  <si>
    <t>Motive Power repair costs</t>
  </si>
  <si>
    <t>Repair cost per 1000 ton miles</t>
  </si>
  <si>
    <t>Fuel Cost per 1000 ton mile</t>
  </si>
  <si>
    <t>Diesel %</t>
  </si>
  <si>
    <t>Per 1000 gross ton miles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</si>
</sst>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mmmm;@"/>
    <numFmt numFmtId="167" formatCode="0.0"/>
    <numFmt numFmtId="168" formatCode="0.0%"/>
    <numFmt numFmtId="169" formatCode="&quot;$&quot;#,##0"/>
    <numFmt numFmtId="170" formatCode="&quot;$&quot;#,##0.00"/>
    <numFmt numFmtId="171" formatCode="#,##0;[Red]#,##0"/>
    <numFmt numFmtId="172" formatCode="&quot;$&quot;#,##0.0000"/>
    <numFmt numFmtId="173" formatCode="&quot;$&quot;#,##0.00;[Red]&quot;$&quot;#,##0.00"/>
    <numFmt numFmtId="174" formatCode="&quot;$&quot;#,##0.0000;[Red]&quot;$&quot;#,##0.0000"/>
    <numFmt numFmtId="175" formatCode="&quot;$&quot;#,##0.00000"/>
    <numFmt numFmtId="176" formatCode="0.00000"/>
  </numFmts>
  <fonts count="1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" borderId="1" xfId="0" applyFill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2" xfId="0" applyFill="1" applyBorder="1" applyAlignment="1">
      <alignment/>
    </xf>
    <xf numFmtId="170" fontId="0" fillId="5" borderId="2" xfId="0" applyNumberFormat="1" applyFill="1" applyBorder="1" applyAlignment="1">
      <alignment/>
    </xf>
    <xf numFmtId="3" fontId="0" fillId="5" borderId="2" xfId="0" applyNumberFormat="1" applyFill="1" applyBorder="1" applyAlignment="1">
      <alignment/>
    </xf>
    <xf numFmtId="0" fontId="0" fillId="5" borderId="1" xfId="0" applyFill="1" applyBorder="1" applyAlignment="1">
      <alignment/>
    </xf>
    <xf numFmtId="170" fontId="0" fillId="5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5" borderId="0" xfId="0" applyFill="1" applyBorder="1" applyAlignment="1">
      <alignment/>
    </xf>
    <xf numFmtId="170" fontId="0" fillId="5" borderId="0" xfId="0" applyNumberFormat="1" applyFill="1" applyBorder="1" applyAlignment="1">
      <alignment/>
    </xf>
    <xf numFmtId="3" fontId="0" fillId="5" borderId="0" xfId="0" applyNumberFormat="1" applyFill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5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5" borderId="0" xfId="0" applyNumberFormat="1" applyFill="1" applyBorder="1" applyAlignment="1">
      <alignment/>
    </xf>
    <xf numFmtId="10" fontId="0" fillId="5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4" borderId="3" xfId="0" applyFill="1" applyBorder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Milwaukee Road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Sheet1!$C$2:$W$2</c:f>
              <c:numCache>
                <c:ptCount val="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</c:numCache>
            </c:numRef>
          </c:cat>
          <c:val>
            <c:numRef>
              <c:f>Sheet1!$C$4:$W$4</c:f>
              <c:numCache>
                <c:ptCount val="21"/>
                <c:pt idx="0">
                  <c:v>67.5</c:v>
                </c:pt>
                <c:pt idx="1">
                  <c:v>72</c:v>
                </c:pt>
                <c:pt idx="2">
                  <c:v>72.5</c:v>
                </c:pt>
                <c:pt idx="3">
                  <c:v>74</c:v>
                </c:pt>
                <c:pt idx="4">
                  <c:v>72.9</c:v>
                </c:pt>
                <c:pt idx="5">
                  <c:v>73.6</c:v>
                </c:pt>
                <c:pt idx="6">
                  <c:v>72.4</c:v>
                </c:pt>
                <c:pt idx="7">
                  <c:v>71</c:v>
                </c:pt>
                <c:pt idx="8">
                  <c:v>70.7</c:v>
                </c:pt>
                <c:pt idx="9">
                  <c:v>72.7</c:v>
                </c:pt>
                <c:pt idx="10">
                  <c:v>72.8</c:v>
                </c:pt>
                <c:pt idx="11">
                  <c:v>71.7</c:v>
                </c:pt>
                <c:pt idx="12">
                  <c:v>72.8</c:v>
                </c:pt>
                <c:pt idx="13">
                  <c:v>72.5</c:v>
                </c:pt>
                <c:pt idx="14">
                  <c:v>74.8</c:v>
                </c:pt>
                <c:pt idx="15">
                  <c:v>73.8</c:v>
                </c:pt>
                <c:pt idx="16">
                  <c:v>73.5</c:v>
                </c:pt>
                <c:pt idx="17">
                  <c:v>74.2</c:v>
                </c:pt>
                <c:pt idx="18">
                  <c:v>76.9</c:v>
                </c:pt>
                <c:pt idx="19">
                  <c:v>85.7</c:v>
                </c:pt>
                <c:pt idx="20">
                  <c:v>81.7</c:v>
                </c:pt>
              </c:numCache>
            </c:numRef>
          </c:val>
          <c:smooth val="0"/>
        </c:ser>
        <c:ser>
          <c:idx val="1"/>
          <c:order val="1"/>
          <c:tx>
            <c:v>Great Northern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Sheet1!$C$2:$W$2</c:f>
              <c:numCache>
                <c:ptCount val="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</c:numCache>
            </c:numRef>
          </c:cat>
          <c:val>
            <c:numRef>
              <c:f>Sheet1!$C$5:$R$5</c:f>
              <c:numCache>
                <c:ptCount val="16"/>
                <c:pt idx="0">
                  <c:v>61.7</c:v>
                </c:pt>
                <c:pt idx="1">
                  <c:v>64.4</c:v>
                </c:pt>
                <c:pt idx="2">
                  <c:v>63.2</c:v>
                </c:pt>
                <c:pt idx="3">
                  <c:v>62.4</c:v>
                </c:pt>
                <c:pt idx="4">
                  <c:v>64.7</c:v>
                </c:pt>
                <c:pt idx="5">
                  <c:v>62.7</c:v>
                </c:pt>
                <c:pt idx="6">
                  <c:v>64.6</c:v>
                </c:pt>
                <c:pt idx="7">
                  <c:v>66.3</c:v>
                </c:pt>
                <c:pt idx="8">
                  <c:v>64.9</c:v>
                </c:pt>
                <c:pt idx="9">
                  <c:v>67.3</c:v>
                </c:pt>
                <c:pt idx="10">
                  <c:v>70.1</c:v>
                </c:pt>
                <c:pt idx="11">
                  <c:v>72</c:v>
                </c:pt>
                <c:pt idx="12">
                  <c:v>72</c:v>
                </c:pt>
                <c:pt idx="13">
                  <c:v>69.7</c:v>
                </c:pt>
                <c:pt idx="14">
                  <c:v>70.8</c:v>
                </c:pt>
                <c:pt idx="15">
                  <c:v>67.9</c:v>
                </c:pt>
              </c:numCache>
            </c:numRef>
          </c:val>
          <c:smooth val="0"/>
        </c:ser>
        <c:ser>
          <c:idx val="2"/>
          <c:order val="2"/>
          <c:tx>
            <c:v>Northern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Sheet1!$C$2:$W$2</c:f>
              <c:numCache>
                <c:ptCount val="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</c:numCache>
            </c:numRef>
          </c:cat>
          <c:val>
            <c:numRef>
              <c:f>Sheet1!$C$6:$R$6</c:f>
              <c:numCache>
                <c:ptCount val="16"/>
                <c:pt idx="0">
                  <c:v>65.1</c:v>
                </c:pt>
                <c:pt idx="1">
                  <c:v>70.5</c:v>
                </c:pt>
                <c:pt idx="2">
                  <c:v>72</c:v>
                </c:pt>
                <c:pt idx="3">
                  <c:v>71.3</c:v>
                </c:pt>
                <c:pt idx="4">
                  <c:v>72.7</c:v>
                </c:pt>
                <c:pt idx="5">
                  <c:v>69</c:v>
                </c:pt>
                <c:pt idx="6">
                  <c:v>71.1</c:v>
                </c:pt>
                <c:pt idx="7">
                  <c:v>72.4</c:v>
                </c:pt>
                <c:pt idx="8">
                  <c:v>69.5</c:v>
                </c:pt>
                <c:pt idx="9">
                  <c:v>69.7</c:v>
                </c:pt>
                <c:pt idx="10">
                  <c:v>74.5</c:v>
                </c:pt>
                <c:pt idx="11">
                  <c:v>77.3</c:v>
                </c:pt>
                <c:pt idx="12">
                  <c:v>76.2</c:v>
                </c:pt>
                <c:pt idx="13">
                  <c:v>76.6</c:v>
                </c:pt>
                <c:pt idx="14">
                  <c:v>76.6</c:v>
                </c:pt>
                <c:pt idx="15">
                  <c:v>73.5</c:v>
                </c:pt>
              </c:numCache>
            </c:numRef>
          </c:val>
          <c:smooth val="0"/>
        </c:ser>
        <c:ser>
          <c:idx val="3"/>
          <c:order val="3"/>
          <c:tx>
            <c:v>Chicago &amp; North Western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Sheet1!$C$2:$W$2</c:f>
              <c:numCache>
                <c:ptCount val="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</c:numCache>
            </c:numRef>
          </c:cat>
          <c:val>
            <c:numRef>
              <c:f>Sheet1!$C$8:$W$8</c:f>
              <c:numCache>
                <c:ptCount val="21"/>
                <c:pt idx="0">
                  <c:v>70</c:v>
                </c:pt>
                <c:pt idx="1">
                  <c:v>73.4</c:v>
                </c:pt>
                <c:pt idx="2">
                  <c:v>72.4</c:v>
                </c:pt>
                <c:pt idx="3">
                  <c:v>71.1</c:v>
                </c:pt>
                <c:pt idx="4">
                  <c:v>75</c:v>
                </c:pt>
                <c:pt idx="5">
                  <c:v>72.4</c:v>
                </c:pt>
                <c:pt idx="6">
                  <c:v>76.2</c:v>
                </c:pt>
                <c:pt idx="7">
                  <c:v>75.9</c:v>
                </c:pt>
                <c:pt idx="8">
                  <c:v>74.7</c:v>
                </c:pt>
                <c:pt idx="9">
                  <c:v>73.8</c:v>
                </c:pt>
                <c:pt idx="10">
                  <c:v>78.4</c:v>
                </c:pt>
                <c:pt idx="11">
                  <c:v>76</c:v>
                </c:pt>
                <c:pt idx="12">
                  <c:v>81.5</c:v>
                </c:pt>
                <c:pt idx="13">
                  <c:v>78.2</c:v>
                </c:pt>
                <c:pt idx="14">
                  <c:v>80.3</c:v>
                </c:pt>
                <c:pt idx="15">
                  <c:v>77.3</c:v>
                </c:pt>
                <c:pt idx="16">
                  <c:v>77.4</c:v>
                </c:pt>
                <c:pt idx="17">
                  <c:v>86.2</c:v>
                </c:pt>
                <c:pt idx="18">
                  <c:v>84.6</c:v>
                </c:pt>
                <c:pt idx="19">
                  <c:v>87.8</c:v>
                </c:pt>
                <c:pt idx="20">
                  <c:v>80.5</c:v>
                </c:pt>
              </c:numCache>
            </c:numRef>
          </c:val>
          <c:smooth val="0"/>
        </c:ser>
        <c:ser>
          <c:idx val="4"/>
          <c:order val="4"/>
          <c:tx>
            <c:v>Union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Sheet1!$C$2:$W$2</c:f>
              <c:numCache>
                <c:ptCount val="2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</c:numCache>
            </c:numRef>
          </c:cat>
          <c:val>
            <c:numRef>
              <c:f>Sheet1!$C$9:$W$9</c:f>
              <c:numCache>
                <c:ptCount val="21"/>
                <c:pt idx="0">
                  <c:v>59.2</c:v>
                </c:pt>
                <c:pt idx="1">
                  <c:v>62</c:v>
                </c:pt>
                <c:pt idx="2">
                  <c:v>62.8</c:v>
                </c:pt>
                <c:pt idx="3">
                  <c:v>62.8</c:v>
                </c:pt>
                <c:pt idx="4">
                  <c:v>61.6</c:v>
                </c:pt>
                <c:pt idx="5">
                  <c:v>60.3</c:v>
                </c:pt>
                <c:pt idx="6">
                  <c:v>61.8</c:v>
                </c:pt>
                <c:pt idx="7">
                  <c:v>62.8</c:v>
                </c:pt>
                <c:pt idx="8">
                  <c:v>61.9</c:v>
                </c:pt>
                <c:pt idx="9">
                  <c:v>62.4</c:v>
                </c:pt>
                <c:pt idx="10">
                  <c:v>62.9</c:v>
                </c:pt>
                <c:pt idx="11">
                  <c:v>64</c:v>
                </c:pt>
                <c:pt idx="12">
                  <c:v>64.3</c:v>
                </c:pt>
                <c:pt idx="13">
                  <c:v>63.7</c:v>
                </c:pt>
                <c:pt idx="14">
                  <c:v>66.9</c:v>
                </c:pt>
                <c:pt idx="15">
                  <c:v>66.3</c:v>
                </c:pt>
                <c:pt idx="16">
                  <c:v>65.3</c:v>
                </c:pt>
                <c:pt idx="17">
                  <c:v>67.1</c:v>
                </c:pt>
                <c:pt idx="18">
                  <c:v>68.6</c:v>
                </c:pt>
                <c:pt idx="19">
                  <c:v>69.5</c:v>
                </c:pt>
                <c:pt idx="20">
                  <c:v>70.1</c:v>
                </c:pt>
              </c:numCache>
            </c:numRef>
          </c:val>
          <c:smooth val="0"/>
        </c:ser>
        <c:axId val="6286781"/>
        <c:axId val="56581030"/>
      </c:lineChart>
      <c:dateAx>
        <c:axId val="628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1030"/>
        <c:crosses val="autoZero"/>
        <c:auto val="0"/>
        <c:noMultiLvlLbl val="0"/>
      </c:dateAx>
      <c:valAx>
        <c:axId val="56581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Comparative Motive Power Repair Costs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Cost, Steam Locomotive Repairs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Sheet2!$H$3:$X$3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Sheet2!$H$34:$X$34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Cost, Diesel Locomotive Repairs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Sheet2!$H$3:$X$3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Sheet2!$H$35:$X$35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Average, Motive Power Repair Csot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Sheet2!$H$3:$X$3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Sheet2!$H$36:$X$36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11566631"/>
        <c:axId val="36990816"/>
      </c:lineChart>
      <c:catAx>
        <c:axId val="11566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0816"/>
        <c:crosses val="autoZero"/>
        <c:auto val="1"/>
        <c:lblOffset val="100"/>
        <c:noMultiLvlLbl val="0"/>
      </c:catAx>
      <c:valAx>
        <c:axId val="36990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Expense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66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Comparative Financng Charges, 2.5% vs. 7%
1944-1962, Milwaukee Road</a:t>
            </a:r>
          </a:p>
        </c:rich>
      </c:tx>
      <c:layout>
        <c:manualLayout>
          <c:xMode val="factor"/>
          <c:yMode val="factor"/>
          <c:x val="-0.003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68"/>
          <c:w val="0.612"/>
          <c:h val="0.74175"/>
        </c:manualLayout>
      </c:layout>
      <c:lineChart>
        <c:grouping val="standard"/>
        <c:varyColors val="0"/>
        <c:ser>
          <c:idx val="0"/>
          <c:order val="0"/>
          <c:tx>
            <c:v>Fuel Charges per Revenue Ton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Sheet2!$G$85:$Y$85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Maintenance Charges per Revenue Ton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Sheet2!$G$86:$Y$86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Financing Charge per Revenue Ton at 2.5%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Sheet2!$G$87:$Y$87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Financing Charge at 7% per Revenue Ton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Sheet2!$G$88:$Y$88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Total Direct Costs at 2.5%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Sheet2!$G$89:$Y$89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Total Direct Costs at 7%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Sheet2!$G$3:$Y$3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Sheet2!$G$90:$Y$90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64481889"/>
        <c:axId val="43466090"/>
      </c:lineChart>
      <c:catAx>
        <c:axId val="64481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6090"/>
        <c:crosses val="autoZero"/>
        <c:auto val="1"/>
        <c:lblOffset val="100"/>
        <c:noMultiLvlLbl val="0"/>
      </c:catAx>
      <c:valAx>
        <c:axId val="43466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Dollars per Revenue Ton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8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75"/>
          <c:y val="0.2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Comparative Railroad Operating Ratios, (Freight Only)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Milwaukee Road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Sheet1!$C$4:$AA$4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Great Northern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Sheet1!$C$5:$AA$5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Northern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Sheet1!$C$6:$AA$6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Burlington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North Western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Sheet1!$C$8:$AA$8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Union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Sheet1!$C$2:$AA$2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Sheet1!$C$9:$AA$9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axId val="39467223"/>
        <c:axId val="19660688"/>
      </c:lineChart>
      <c:catAx>
        <c:axId val="39467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60688"/>
        <c:crosses val="autoZero"/>
        <c:auto val="1"/>
        <c:lblOffset val="100"/>
        <c:noMultiLvlLbl val="0"/>
      </c:catAx>
      <c:valAx>
        <c:axId val="1966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Comparative Railroad Operating Ratios, 1953-1968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Milwaukee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Sheet1!$F$12:$U$12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Great Northern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Sheet1!$F$13:$U$13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Northern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Sheet1!$F$14:$U$14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Burlngton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Sheet1!$F$15:$U$15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North Western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Sheet1!$F$16:$U$16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Union Pacific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Sheet1!$F$2:$U$2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Sheet1!$F$17:$U$17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42728465"/>
        <c:axId val="49011866"/>
      </c:lineChart>
      <c:catAx>
        <c:axId val="4272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11866"/>
        <c:crosses val="autoZero"/>
        <c:auto val="1"/>
        <c:lblOffset val="100"/>
        <c:noMultiLvlLbl val="0"/>
      </c:catAx>
      <c:valAx>
        <c:axId val="490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8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Indexes of Operating Revenue, Expenses, Motive Power Charges, M-O-W
1944-1962, Milwaukee Road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Operating Revenue Index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Sheet2!$G$5:$Y$5</c:f>
              <c:numCache>
                <c:ptCount val="19"/>
                <c:pt idx="0">
                  <c:v>100</c:v>
                </c:pt>
                <c:pt idx="1">
                  <c:v>100.98683164817305</c:v>
                </c:pt>
                <c:pt idx="2">
                  <c:v>88.7390866873963</c:v>
                </c:pt>
                <c:pt idx="3">
                  <c:v>102.1035161474106</c:v>
                </c:pt>
                <c:pt idx="4">
                  <c:v>112.0740391104495</c:v>
                </c:pt>
                <c:pt idx="5">
                  <c:v>104.98945009819232</c:v>
                </c:pt>
                <c:pt idx="6">
                  <c:v>112.66463406132353</c:v>
                </c:pt>
                <c:pt idx="7">
                  <c:v>125.89207731845855</c:v>
                </c:pt>
                <c:pt idx="8">
                  <c:v>118.85931317458049</c:v>
                </c:pt>
                <c:pt idx="9">
                  <c:v>114.622444043449</c:v>
                </c:pt>
                <c:pt idx="10">
                  <c:v>104.86743458295804</c:v>
                </c:pt>
                <c:pt idx="11">
                  <c:v>108.28747847142115</c:v>
                </c:pt>
                <c:pt idx="12">
                  <c:v>111.97605300449152</c:v>
                </c:pt>
                <c:pt idx="13">
                  <c:v>112.04954787707291</c:v>
                </c:pt>
                <c:pt idx="14">
                  <c:v>107.74255161644103</c:v>
                </c:pt>
                <c:pt idx="15">
                  <c:v>106.76289213624403</c:v>
                </c:pt>
                <c:pt idx="16">
                  <c:v>101.61140397292144</c:v>
                </c:pt>
                <c:pt idx="17">
                  <c:v>97.84853618940765</c:v>
                </c:pt>
                <c:pt idx="18">
                  <c:v>100.42098596992939</c:v>
                </c:pt>
              </c:numCache>
            </c:numRef>
          </c:val>
          <c:smooth val="0"/>
        </c:ser>
        <c:ser>
          <c:idx val="1"/>
          <c:order val="1"/>
          <c:tx>
            <c:v>Operating Expense Index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Sheet2!$G$7:$Y$7</c:f>
              <c:numCache>
                <c:ptCount val="19"/>
                <c:pt idx="0">
                  <c:v>100</c:v>
                </c:pt>
                <c:pt idx="1">
                  <c:v>116.36132155040193</c:v>
                </c:pt>
                <c:pt idx="2">
                  <c:v>106.99798959440336</c:v>
                </c:pt>
                <c:pt idx="3">
                  <c:v>115.91031633950826</c:v>
                </c:pt>
                <c:pt idx="4">
                  <c:v>130.94368989938607</c:v>
                </c:pt>
                <c:pt idx="5">
                  <c:v>125.85932070357582</c:v>
                </c:pt>
                <c:pt idx="6">
                  <c:v>124.32688414606983</c:v>
                </c:pt>
                <c:pt idx="7">
                  <c:v>136.65937011774898</c:v>
                </c:pt>
                <c:pt idx="8">
                  <c:v>138.3205393393349</c:v>
                </c:pt>
                <c:pt idx="9">
                  <c:v>135.8676535851249</c:v>
                </c:pt>
                <c:pt idx="10">
                  <c:v>124.17721185870909</c:v>
                </c:pt>
                <c:pt idx="11">
                  <c:v>127.43450333556254</c:v>
                </c:pt>
                <c:pt idx="12">
                  <c:v>131.2361895226086</c:v>
                </c:pt>
                <c:pt idx="13">
                  <c:v>129.63736029825753</c:v>
                </c:pt>
                <c:pt idx="14">
                  <c:v>124.17798590116844</c:v>
                </c:pt>
                <c:pt idx="15">
                  <c:v>123.8290963818366</c:v>
                </c:pt>
                <c:pt idx="16">
                  <c:v>117.0278736114578</c:v>
                </c:pt>
                <c:pt idx="17">
                  <c:v>109.52642450807484</c:v>
                </c:pt>
                <c:pt idx="18">
                  <c:v>112.70275724634824</c:v>
                </c:pt>
              </c:numCache>
            </c:numRef>
          </c:val>
          <c:smooth val="0"/>
        </c:ser>
        <c:ser>
          <c:idx val="2"/>
          <c:order val="2"/>
          <c:tx>
            <c:v>Motive Power: Fuel, Maintenance, Finance Charges Index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0"/>
            <c:dispRSqr val="0"/>
          </c:trendline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Sheet2!$G$8:$Y$8</c:f>
              <c:numCache>
                <c:ptCount val="19"/>
                <c:pt idx="0">
                  <c:v>100</c:v>
                </c:pt>
                <c:pt idx="1">
                  <c:v>102.9808661310209</c:v>
                </c:pt>
                <c:pt idx="2">
                  <c:v>107.54530612655093</c:v>
                </c:pt>
                <c:pt idx="3">
                  <c:v>119.65986984933804</c:v>
                </c:pt>
                <c:pt idx="4">
                  <c:v>146.73636129894726</c:v>
                </c:pt>
                <c:pt idx="5">
                  <c:v>138.80324893333085</c:v>
                </c:pt>
                <c:pt idx="6">
                  <c:v>142.17010014866244</c:v>
                </c:pt>
                <c:pt idx="7">
                  <c:v>152.8314491887674</c:v>
                </c:pt>
                <c:pt idx="8">
                  <c:v>146.49934562379568</c:v>
                </c:pt>
                <c:pt idx="9">
                  <c:v>138.85686802477474</c:v>
                </c:pt>
                <c:pt idx="10">
                  <c:v>128.47849467465235</c:v>
                </c:pt>
                <c:pt idx="11">
                  <c:v>129.1148429663261</c:v>
                </c:pt>
                <c:pt idx="12">
                  <c:v>139.59631245574025</c:v>
                </c:pt>
                <c:pt idx="13">
                  <c:v>143.358766279824</c:v>
                </c:pt>
                <c:pt idx="14">
                  <c:v>136.90556170339607</c:v>
                </c:pt>
                <c:pt idx="15">
                  <c:v>142.1576115192682</c:v>
                </c:pt>
                <c:pt idx="16">
                  <c:v>136.46182499143455</c:v>
                </c:pt>
                <c:pt idx="17">
                  <c:v>127.15479219862735</c:v>
                </c:pt>
                <c:pt idx="18">
                  <c:v>129.72917063228832</c:v>
                </c:pt>
              </c:numCache>
            </c:numRef>
          </c:val>
          <c:smooth val="0"/>
        </c:ser>
        <c:ser>
          <c:idx val="3"/>
          <c:order val="3"/>
          <c:tx>
            <c:v>Maintenance of Way Index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Sheet2!$G$26:$Y$26</c:f>
              <c:numCache>
                <c:ptCount val="19"/>
                <c:pt idx="0">
                  <c:v>100</c:v>
                </c:pt>
                <c:pt idx="1">
                  <c:v>115.56982869074048</c:v>
                </c:pt>
                <c:pt idx="2">
                  <c:v>85.69055737632898</c:v>
                </c:pt>
                <c:pt idx="3">
                  <c:v>97.15634998944266</c:v>
                </c:pt>
                <c:pt idx="4">
                  <c:v>100.91322978266955</c:v>
                </c:pt>
                <c:pt idx="5">
                  <c:v>98.01719047093964</c:v>
                </c:pt>
                <c:pt idx="6">
                  <c:v>85.98182882438876</c:v>
                </c:pt>
                <c:pt idx="7">
                  <c:v>83.39327057265842</c:v>
                </c:pt>
                <c:pt idx="8">
                  <c:v>93.6591403601924</c:v>
                </c:pt>
                <c:pt idx="9">
                  <c:v>98.34202059989093</c:v>
                </c:pt>
                <c:pt idx="10">
                  <c:v>87.64875669164135</c:v>
                </c:pt>
                <c:pt idx="11">
                  <c:v>101.91911568258864</c:v>
                </c:pt>
                <c:pt idx="12">
                  <c:v>98.1592573538768</c:v>
                </c:pt>
                <c:pt idx="13">
                  <c:v>91.88235906286425</c:v>
                </c:pt>
                <c:pt idx="14">
                  <c:v>86.09335414398524</c:v>
                </c:pt>
                <c:pt idx="15">
                  <c:v>83.53414141155369</c:v>
                </c:pt>
                <c:pt idx="16">
                  <c:v>73.7270432528365</c:v>
                </c:pt>
                <c:pt idx="17">
                  <c:v>64.90064204930238</c:v>
                </c:pt>
                <c:pt idx="18">
                  <c:v>68.11277651027117</c:v>
                </c:pt>
              </c:numCache>
            </c:numRef>
          </c:val>
          <c:smooth val="0"/>
        </c:ser>
        <c:marker val="1"/>
        <c:axId val="38453611"/>
        <c:axId val="10538180"/>
      </c:lineChart>
      <c:catAx>
        <c:axId val="384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38180"/>
        <c:crosses val="autoZero"/>
        <c:auto val="1"/>
        <c:lblOffset val="100"/>
        <c:noMultiLvlLbl val="0"/>
      </c:catAx>
      <c:valAx>
        <c:axId val="1053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53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Comparative Changes, Fuel, Maintenance, Financing Charges, Milwaukee Road, 1946-1962</a:t>
            </a:r>
          </a:p>
        </c:rich>
      </c:tx>
      <c:layout>
        <c:manualLayout>
          <c:xMode val="factor"/>
          <c:yMode val="factor"/>
          <c:x val="0.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425"/>
          <c:w val="0.751"/>
          <c:h val="0.84025"/>
        </c:manualLayout>
      </c:layout>
      <c:lineChart>
        <c:grouping val="standard"/>
        <c:varyColors val="0"/>
        <c:ser>
          <c:idx val="0"/>
          <c:order val="0"/>
          <c:tx>
            <c:v>Fleet Maintenance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Sheet2!$I$3:$Y$3</c:f>
              <c:numCache>
                <c:ptCount val="17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</c:numCache>
            </c:numRef>
          </c:cat>
          <c:val>
            <c:numRef>
              <c:f>Sheet2!$I$36:$Y$36</c:f>
              <c:numCache>
                <c:ptCount val="17"/>
                <c:pt idx="0">
                  <c:v>12036814</c:v>
                </c:pt>
                <c:pt idx="1">
                  <c:v>12517474</c:v>
                </c:pt>
                <c:pt idx="2">
                  <c:v>15573456</c:v>
                </c:pt>
                <c:pt idx="3">
                  <c:v>15223818</c:v>
                </c:pt>
                <c:pt idx="4">
                  <c:v>14589217</c:v>
                </c:pt>
                <c:pt idx="5">
                  <c:v>16327405</c:v>
                </c:pt>
                <c:pt idx="6">
                  <c:v>15614472</c:v>
                </c:pt>
                <c:pt idx="7">
                  <c:v>14305927</c:v>
                </c:pt>
                <c:pt idx="8">
                  <c:v>12124999</c:v>
                </c:pt>
                <c:pt idx="9">
                  <c:v>11982057</c:v>
                </c:pt>
                <c:pt idx="10">
                  <c:v>12655863</c:v>
                </c:pt>
                <c:pt idx="11">
                  <c:v>13703786</c:v>
                </c:pt>
                <c:pt idx="12">
                  <c:v>13180550</c:v>
                </c:pt>
                <c:pt idx="13">
                  <c:v>13197294</c:v>
                </c:pt>
                <c:pt idx="14">
                  <c:v>12448450</c:v>
                </c:pt>
                <c:pt idx="15">
                  <c:v>10658156</c:v>
                </c:pt>
                <c:pt idx="16">
                  <c:v>10913437</c:v>
                </c:pt>
              </c:numCache>
            </c:numRef>
          </c:val>
          <c:smooth val="0"/>
        </c:ser>
        <c:ser>
          <c:idx val="1"/>
          <c:order val="1"/>
          <c:tx>
            <c:v>Total Fuel Costs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Sheet2!$I$3:$Y$3</c:f>
              <c:numCache>
                <c:ptCount val="17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</c:numCache>
            </c:numRef>
          </c:cat>
          <c:val>
            <c:numRef>
              <c:f>Sheet2!$I$72:$Y$72</c:f>
              <c:numCache>
                <c:ptCount val="17"/>
                <c:pt idx="0">
                  <c:v>10386902</c:v>
                </c:pt>
                <c:pt idx="1">
                  <c:v>12621795</c:v>
                </c:pt>
                <c:pt idx="2">
                  <c:v>15645584</c:v>
                </c:pt>
                <c:pt idx="3">
                  <c:v>13302013</c:v>
                </c:pt>
                <c:pt idx="4">
                  <c:v>13527558</c:v>
                </c:pt>
                <c:pt idx="5">
                  <c:v>12521647</c:v>
                </c:pt>
                <c:pt idx="6">
                  <c:v>11288567</c:v>
                </c:pt>
                <c:pt idx="7">
                  <c:v>10310008</c:v>
                </c:pt>
                <c:pt idx="8">
                  <c:v>8429801</c:v>
                </c:pt>
                <c:pt idx="9">
                  <c:v>7799279</c:v>
                </c:pt>
                <c:pt idx="10">
                  <c:v>8709302</c:v>
                </c:pt>
                <c:pt idx="11">
                  <c:v>8501211</c:v>
                </c:pt>
                <c:pt idx="12">
                  <c:v>7422354</c:v>
                </c:pt>
                <c:pt idx="13">
                  <c:v>7758785</c:v>
                </c:pt>
                <c:pt idx="14">
                  <c:v>7243332</c:v>
                </c:pt>
                <c:pt idx="15">
                  <c:v>6913371</c:v>
                </c:pt>
                <c:pt idx="16">
                  <c:v>7240054</c:v>
                </c:pt>
              </c:numCache>
            </c:numRef>
          </c:val>
          <c:smooth val="0"/>
        </c:ser>
        <c:ser>
          <c:idx val="2"/>
          <c:order val="2"/>
          <c:tx>
            <c:v>Diesel-electric financing charges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Sheet2!$I$3:$Y$3</c:f>
              <c:numCache>
                <c:ptCount val="17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</c:numCache>
            </c:numRef>
          </c:cat>
          <c:val>
            <c:numRef>
              <c:f>Sheet2!$I$44:$Y$44</c:f>
              <c:numCache>
                <c:ptCount val="17"/>
                <c:pt idx="0">
                  <c:v>2033508.3368324046</c:v>
                </c:pt>
                <c:pt idx="1">
                  <c:v>2072967.27907753</c:v>
                </c:pt>
                <c:pt idx="2">
                  <c:v>2150748.3795678434</c:v>
                </c:pt>
                <c:pt idx="3">
                  <c:v>3039862.753746889</c:v>
                </c:pt>
                <c:pt idx="4">
                  <c:v>4214585.229094555</c:v>
                </c:pt>
                <c:pt idx="5">
                  <c:v>5906839.941341423</c:v>
                </c:pt>
                <c:pt idx="6">
                  <c:v>6412848.88174689</c:v>
                </c:pt>
                <c:pt idx="7">
                  <c:v>6961952.44397301</c:v>
                </c:pt>
                <c:pt idx="8">
                  <c:v>8662908.144500254</c:v>
                </c:pt>
                <c:pt idx="9">
                  <c:v>9581086.158401629</c:v>
                </c:pt>
                <c:pt idx="10">
                  <c:v>10380881.882856045</c:v>
                </c:pt>
                <c:pt idx="11">
                  <c:v>10396681.621207405</c:v>
                </c:pt>
                <c:pt idx="12">
                  <c:v>10531230.590680836</c:v>
                </c:pt>
                <c:pt idx="13">
                  <c:v>11372441.149673559</c:v>
                </c:pt>
                <c:pt idx="14">
                  <c:v>11341440.99628581</c:v>
                </c:pt>
                <c:pt idx="15">
                  <c:v>11345153.702416738</c:v>
                </c:pt>
                <c:pt idx="16">
                  <c:v>11348637.3909087</c:v>
                </c:pt>
              </c:numCache>
            </c:numRef>
          </c:val>
          <c:smooth val="0"/>
        </c:ser>
        <c:ser>
          <c:idx val="3"/>
          <c:order val="3"/>
          <c:tx>
            <c:v>Total, Fuel, Maintenance, Finance Charges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Sheet2!$I$3:$Y$3</c:f>
              <c:numCache>
                <c:ptCount val="17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</c:numCache>
            </c:numRef>
          </c:cat>
          <c:val>
            <c:numRef>
              <c:f>Sheet2!$I$48:$Y$48</c:f>
              <c:numCache>
                <c:ptCount val="17"/>
                <c:pt idx="0">
                  <c:v>24457224.336832404</c:v>
                </c:pt>
                <c:pt idx="1">
                  <c:v>27212236.27907753</c:v>
                </c:pt>
                <c:pt idx="2">
                  <c:v>33369788.379567843</c:v>
                </c:pt>
                <c:pt idx="3">
                  <c:v>31565693.75374689</c:v>
                </c:pt>
                <c:pt idx="4">
                  <c:v>32331360.229094554</c:v>
                </c:pt>
                <c:pt idx="5">
                  <c:v>34755891.94134142</c:v>
                </c:pt>
                <c:pt idx="6">
                  <c:v>33315887.88174689</c:v>
                </c:pt>
                <c:pt idx="7">
                  <c:v>31577887.443973012</c:v>
                </c:pt>
                <c:pt idx="8">
                  <c:v>29217708.144500256</c:v>
                </c:pt>
                <c:pt idx="9">
                  <c:v>29362422.15840163</c:v>
                </c:pt>
                <c:pt idx="10">
                  <c:v>31746046.882856045</c:v>
                </c:pt>
                <c:pt idx="11">
                  <c:v>32601678.621207405</c:v>
                </c:pt>
                <c:pt idx="12">
                  <c:v>31134134.590680838</c:v>
                </c:pt>
                <c:pt idx="13">
                  <c:v>32328520.14967356</c:v>
                </c:pt>
                <c:pt idx="14">
                  <c:v>31033222.99628581</c:v>
                </c:pt>
                <c:pt idx="15">
                  <c:v>28916680.70241674</c:v>
                </c:pt>
                <c:pt idx="16">
                  <c:v>29502128.3909087</c:v>
                </c:pt>
              </c:numCache>
            </c:numRef>
          </c:val>
          <c:smooth val="0"/>
        </c:ser>
        <c:marker val="1"/>
        <c:axId val="27734757"/>
        <c:axId val="48286222"/>
      </c:lineChart>
      <c:catAx>
        <c:axId val="27734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6222"/>
        <c:crosses val="autoZero"/>
        <c:auto val="1"/>
        <c:lblOffset val="100"/>
        <c:noMultiLvlLbl val="0"/>
      </c:catAx>
      <c:valAx>
        <c:axId val="4828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34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58225"/>
          <c:w val="0.1955"/>
          <c:h val="0.3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Fuel, Locomotive Maintenance, Finance Charges per Freight Revenue Ton, 
1944-1962, Milwaukee Road</a:t>
            </a:r>
          </a:p>
        </c:rich>
      </c:tx>
      <c:layout>
        <c:manualLayout>
          <c:xMode val="factor"/>
          <c:yMode val="factor"/>
          <c:x val="0.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075"/>
          <c:y val="0.1385"/>
          <c:w val="0.618"/>
          <c:h val="0.806"/>
        </c:manualLayout>
      </c:layout>
      <c:lineChart>
        <c:grouping val="standard"/>
        <c:varyColors val="0"/>
        <c:ser>
          <c:idx val="0"/>
          <c:order val="0"/>
          <c:tx>
            <c:v>Fuel Cost per Revenue 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Sheet2!$G$85:$Y$85</c:f>
              <c:numCache>
                <c:ptCount val="19"/>
                <c:pt idx="0">
                  <c:v>0.1725671962967634</c:v>
                </c:pt>
                <c:pt idx="1">
                  <c:v>0.18420153564791564</c:v>
                </c:pt>
                <c:pt idx="2">
                  <c:v>0.20673667370829263</c:v>
                </c:pt>
                <c:pt idx="3">
                  <c:v>0.2286388278401549</c:v>
                </c:pt>
                <c:pt idx="4">
                  <c:v>0.2938078140834772</c:v>
                </c:pt>
                <c:pt idx="5">
                  <c:v>0.2876364909714406</c:v>
                </c:pt>
                <c:pt idx="6">
                  <c:v>0.26966180458201633</c:v>
                </c:pt>
                <c:pt idx="7">
                  <c:v>0.24200824575217364</c:v>
                </c:pt>
                <c:pt idx="8">
                  <c:v>0.2279501375638657</c:v>
                </c:pt>
                <c:pt idx="9">
                  <c:v>0.220247600408528</c:v>
                </c:pt>
                <c:pt idx="10">
                  <c:v>0.1954817421540055</c:v>
                </c:pt>
                <c:pt idx="11">
                  <c:v>0.1714841078901855</c:v>
                </c:pt>
                <c:pt idx="12">
                  <c:v>0.19204121398031845</c:v>
                </c:pt>
                <c:pt idx="13">
                  <c:v>0.19792548691988532</c:v>
                </c:pt>
                <c:pt idx="14">
                  <c:v>0.179892545142647</c:v>
                </c:pt>
                <c:pt idx="15">
                  <c:v>0.18839884998485532</c:v>
                </c:pt>
                <c:pt idx="16">
                  <c:v>0.18502572168793657</c:v>
                </c:pt>
                <c:pt idx="17">
                  <c:v>0.18534370054912463</c:v>
                </c:pt>
                <c:pt idx="18">
                  <c:v>0.18323171051144396</c:v>
                </c:pt>
              </c:numCache>
            </c:numRef>
          </c:val>
          <c:smooth val="0"/>
        </c:ser>
        <c:ser>
          <c:idx val="1"/>
          <c:order val="1"/>
          <c:tx>
            <c:v>Maintenance Cost per Revenue 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Sheet2!$G$86:$Y$86</c:f>
              <c:numCache>
                <c:ptCount val="19"/>
                <c:pt idx="0">
                  <c:v>0.22834843880181796</c:v>
                </c:pt>
                <c:pt idx="1">
                  <c:v>0.23188184913989623</c:v>
                </c:pt>
                <c:pt idx="2">
                  <c:v>0.23957585124086167</c:v>
                </c:pt>
                <c:pt idx="3">
                  <c:v>0.2267490941565455</c:v>
                </c:pt>
                <c:pt idx="4">
                  <c:v>0.2924533251737495</c:v>
                </c:pt>
                <c:pt idx="5">
                  <c:v>0.3291927010376441</c:v>
                </c:pt>
                <c:pt idx="6">
                  <c:v>0.2908251869005944</c:v>
                </c:pt>
                <c:pt idx="7">
                  <c:v>0.3155628522138716</c:v>
                </c:pt>
                <c:pt idx="8">
                  <c:v>0.3153031771337433</c:v>
                </c:pt>
                <c:pt idx="9">
                  <c:v>0.30561044117226405</c:v>
                </c:pt>
                <c:pt idx="10">
                  <c:v>0.28117104165751655</c:v>
                </c:pt>
                <c:pt idx="11">
                  <c:v>0.26345157742585595</c:v>
                </c:pt>
                <c:pt idx="12">
                  <c:v>0.27906338469932435</c:v>
                </c:pt>
                <c:pt idx="13">
                  <c:v>0.31905201702391667</c:v>
                </c:pt>
                <c:pt idx="14">
                  <c:v>0.31945157639744964</c:v>
                </c:pt>
                <c:pt idx="15">
                  <c:v>0.32045674838419047</c:v>
                </c:pt>
                <c:pt idx="16">
                  <c:v>0.3179867283656464</c:v>
                </c:pt>
                <c:pt idx="17">
                  <c:v>0.28573934106383936</c:v>
                </c:pt>
                <c:pt idx="18">
                  <c:v>0.27619790253897025</c:v>
                </c:pt>
              </c:numCache>
            </c:numRef>
          </c:val>
          <c:smooth val="0"/>
        </c:ser>
        <c:ser>
          <c:idx val="2"/>
          <c:order val="2"/>
          <c:tx>
            <c:v>Motive Power Finance Charge per Revenue 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Sheet2!$G$87:$Y$87</c:f>
              <c:numCache>
                <c:ptCount val="19"/>
                <c:pt idx="0">
                  <c:v>0.02222159991284361</c:v>
                </c:pt>
                <c:pt idx="1">
                  <c:v>0.031478566191448176</c:v>
                </c:pt>
                <c:pt idx="2">
                  <c:v>0.04047412303637924</c:v>
                </c:pt>
                <c:pt idx="3">
                  <c:v>0.03755098294967409</c:v>
                </c:pt>
                <c:pt idx="4">
                  <c:v>0.04038882026036285</c:v>
                </c:pt>
                <c:pt idx="5">
                  <c:v>0.06573256660646291</c:v>
                </c:pt>
                <c:pt idx="6">
                  <c:v>0.08401462100124416</c:v>
                </c:pt>
                <c:pt idx="7">
                  <c:v>0.11416261552037923</c:v>
                </c:pt>
                <c:pt idx="8">
                  <c:v>0.1294947166252799</c:v>
                </c:pt>
                <c:pt idx="9">
                  <c:v>0.14872474589188897</c:v>
                </c:pt>
                <c:pt idx="10">
                  <c:v>0.20088734908535003</c:v>
                </c:pt>
                <c:pt idx="11">
                  <c:v>0.21066101270290596</c:v>
                </c:pt>
                <c:pt idx="12">
                  <c:v>0.22889976245742413</c:v>
                </c:pt>
                <c:pt idx="13">
                  <c:v>0.24205589912172495</c:v>
                </c:pt>
                <c:pt idx="14">
                  <c:v>0.2552411100900977</c:v>
                </c:pt>
                <c:pt idx="15">
                  <c:v>0.2761456638016061</c:v>
                </c:pt>
                <c:pt idx="16">
                  <c:v>0.28970897721089306</c:v>
                </c:pt>
                <c:pt idx="17">
                  <c:v>0.3041573742396467</c:v>
                </c:pt>
                <c:pt idx="18">
                  <c:v>0.2872119795115246</c:v>
                </c:pt>
              </c:numCache>
            </c:numRef>
          </c:val>
          <c:smooth val="0"/>
        </c:ser>
        <c:ser>
          <c:idx val="3"/>
          <c:order val="3"/>
          <c:tx>
            <c:v>Total, Fuel,Maintenance,Finance Charge per Revenue Ton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Sheet2!$G$3:$Y$3</c:f>
              <c:numCache>
                <c:ptCount val="19"/>
                <c:pt idx="0">
                  <c:v>1944</c:v>
                </c:pt>
                <c:pt idx="1">
                  <c:v>1945</c:v>
                </c:pt>
                <c:pt idx="2">
                  <c:v>1946</c:v>
                </c:pt>
                <c:pt idx="3">
                  <c:v>1947</c:v>
                </c:pt>
                <c:pt idx="4">
                  <c:v>1948</c:v>
                </c:pt>
                <c:pt idx="5">
                  <c:v>1949</c:v>
                </c:pt>
                <c:pt idx="6">
                  <c:v>1950</c:v>
                </c:pt>
                <c:pt idx="7">
                  <c:v>1951</c:v>
                </c:pt>
                <c:pt idx="8">
                  <c:v>1952</c:v>
                </c:pt>
                <c:pt idx="9">
                  <c:v>1953</c:v>
                </c:pt>
                <c:pt idx="10">
                  <c:v>1954</c:v>
                </c:pt>
                <c:pt idx="11">
                  <c:v>1955</c:v>
                </c:pt>
                <c:pt idx="12">
                  <c:v>1956</c:v>
                </c:pt>
                <c:pt idx="13">
                  <c:v>1957</c:v>
                </c:pt>
                <c:pt idx="14">
                  <c:v>1958</c:v>
                </c:pt>
                <c:pt idx="15">
                  <c:v>1959</c:v>
                </c:pt>
                <c:pt idx="16">
                  <c:v>1960</c:v>
                </c:pt>
                <c:pt idx="17">
                  <c:v>1961</c:v>
                </c:pt>
                <c:pt idx="18">
                  <c:v>1962</c:v>
                </c:pt>
              </c:numCache>
            </c:numRef>
          </c:cat>
          <c:val>
            <c:numRef>
              <c:f>Sheet2!$G$89:$Y$89</c:f>
              <c:numCache>
                <c:ptCount val="19"/>
                <c:pt idx="0">
                  <c:v>0.423137235011425</c:v>
                </c:pt>
                <c:pt idx="1">
                  <c:v>0.44756195097926005</c:v>
                </c:pt>
                <c:pt idx="2">
                  <c:v>0.48678664798553356</c:v>
                </c:pt>
                <c:pt idx="3">
                  <c:v>0.4929389049463745</c:v>
                </c:pt>
                <c:pt idx="4">
                  <c:v>0.6266499595175896</c:v>
                </c:pt>
                <c:pt idx="5">
                  <c:v>0.6825617586155476</c:v>
                </c:pt>
                <c:pt idx="6">
                  <c:v>0.6445016124838548</c:v>
                </c:pt>
                <c:pt idx="7">
                  <c:v>0.6717337134864244</c:v>
                </c:pt>
                <c:pt idx="8">
                  <c:v>0.6727480313228889</c:v>
                </c:pt>
                <c:pt idx="9">
                  <c:v>0.6745827874726811</c:v>
                </c:pt>
                <c:pt idx="10">
                  <c:v>0.6775401328968721</c:v>
                </c:pt>
                <c:pt idx="11">
                  <c:v>0.6455966980189474</c:v>
                </c:pt>
                <c:pt idx="12">
                  <c:v>0.700004361137067</c:v>
                </c:pt>
                <c:pt idx="13">
                  <c:v>0.759033403065527</c:v>
                </c:pt>
                <c:pt idx="14">
                  <c:v>0.7545852316301944</c:v>
                </c:pt>
                <c:pt idx="15">
                  <c:v>0.7850012621706519</c:v>
                </c:pt>
                <c:pt idx="16">
                  <c:v>0.792721427264476</c:v>
                </c:pt>
                <c:pt idx="17">
                  <c:v>0.7752404158526107</c:v>
                </c:pt>
                <c:pt idx="18">
                  <c:v>0.7466415925619387</c:v>
                </c:pt>
              </c:numCache>
            </c:numRef>
          </c:val>
          <c:smooth val="0"/>
        </c:ser>
        <c:ser>
          <c:idx val="4"/>
          <c:order val="4"/>
          <c:tx>
            <c:v>Inflation Index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Sheet2!$G$17:$Y$17</c:f>
              <c:numCache>
                <c:ptCount val="19"/>
                <c:pt idx="0">
                  <c:v>0.53</c:v>
                </c:pt>
                <c:pt idx="1">
                  <c:v>0.51</c:v>
                </c:pt>
                <c:pt idx="2">
                  <c:v>0.51</c:v>
                </c:pt>
                <c:pt idx="3">
                  <c:v>0.54</c:v>
                </c:pt>
                <c:pt idx="4">
                  <c:v>0.57</c:v>
                </c:pt>
                <c:pt idx="5">
                  <c:v>0.54</c:v>
                </c:pt>
                <c:pt idx="6">
                  <c:v>0.495</c:v>
                </c:pt>
                <c:pt idx="7">
                  <c:v>0.505</c:v>
                </c:pt>
                <c:pt idx="8">
                  <c:v>0.54</c:v>
                </c:pt>
                <c:pt idx="9">
                  <c:v>0.51</c:v>
                </c:pt>
                <c:pt idx="10">
                  <c:v>0.505</c:v>
                </c:pt>
                <c:pt idx="11">
                  <c:v>0.5</c:v>
                </c:pt>
                <c:pt idx="12">
                  <c:v>0.5</c:v>
                </c:pt>
                <c:pt idx="13">
                  <c:v>0.505</c:v>
                </c:pt>
                <c:pt idx="14">
                  <c:v>0.52</c:v>
                </c:pt>
                <c:pt idx="15">
                  <c:v>0.515</c:v>
                </c:pt>
                <c:pt idx="16">
                  <c:v>0.505</c:v>
                </c:pt>
                <c:pt idx="17">
                  <c:v>0.51</c:v>
                </c:pt>
                <c:pt idx="18">
                  <c:v>0.505</c:v>
                </c:pt>
              </c:numCache>
            </c:numRef>
          </c:val>
          <c:smooth val="0"/>
        </c:ser>
        <c:marker val="1"/>
        <c:axId val="31922815"/>
        <c:axId val="18869880"/>
      </c:lineChart>
      <c:catAx>
        <c:axId val="3192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9880"/>
        <c:crosses val="autoZero"/>
        <c:auto val="1"/>
        <c:lblOffset val="100"/>
        <c:noMultiLvlLbl val="0"/>
      </c:catAx>
      <c:valAx>
        <c:axId val="18869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2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MOW Budgets Selected Railroads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Milwaukee MOW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Sheet2!$M$3:$AE$3</c:f>
              <c:numCache>
                <c:ptCount val="1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</c:numCache>
            </c:numRef>
          </c:cat>
          <c:val>
            <c:numRef>
              <c:f>Sheet2!$M$25:$AF$25</c:f>
              <c:numCache>
                <c:ptCount val="20"/>
                <c:pt idx="0">
                  <c:v>33428159</c:v>
                </c:pt>
                <c:pt idx="1">
                  <c:v>32421775</c:v>
                </c:pt>
                <c:pt idx="2">
                  <c:v>36412957</c:v>
                </c:pt>
                <c:pt idx="3">
                  <c:v>38233575</c:v>
                </c:pt>
                <c:pt idx="4">
                  <c:v>34076230</c:v>
                </c:pt>
                <c:pt idx="5">
                  <c:v>39624284</c:v>
                </c:pt>
                <c:pt idx="6">
                  <c:v>38162520</c:v>
                </c:pt>
                <c:pt idx="7">
                  <c:v>35722177</c:v>
                </c:pt>
                <c:pt idx="8">
                  <c:v>33471518</c:v>
                </c:pt>
                <c:pt idx="9">
                  <c:v>32476543</c:v>
                </c:pt>
                <c:pt idx="10">
                  <c:v>28663723</c:v>
                </c:pt>
                <c:pt idx="11">
                  <c:v>25232180</c:v>
                </c:pt>
                <c:pt idx="12">
                  <c:v>26480999</c:v>
                </c:pt>
                <c:pt idx="13">
                  <c:v>24806919</c:v>
                </c:pt>
                <c:pt idx="14">
                  <c:v>25342940</c:v>
                </c:pt>
                <c:pt idx="15">
                  <c:v>26801915</c:v>
                </c:pt>
                <c:pt idx="16">
                  <c:v>32044579</c:v>
                </c:pt>
                <c:pt idx="17">
                  <c:v>28091957</c:v>
                </c:pt>
                <c:pt idx="18">
                  <c:v>34198761</c:v>
                </c:pt>
                <c:pt idx="19">
                  <c:v>39466024</c:v>
                </c:pt>
              </c:numCache>
            </c:numRef>
          </c:val>
          <c:smooth val="0"/>
        </c:ser>
        <c:ser>
          <c:idx val="1"/>
          <c:order val="1"/>
          <c:tx>
            <c:v>NP MOW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Sheet2!$M$3:$AE$3</c:f>
              <c:numCache>
                <c:ptCount val="1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</c:numCache>
            </c:numRef>
          </c:cat>
          <c:val>
            <c:numRef>
              <c:f>Sheet2!$M$117:$AE$117</c:f>
              <c:numCache>
                <c:ptCount val="19"/>
                <c:pt idx="0">
                  <c:v>21703083</c:v>
                </c:pt>
                <c:pt idx="1">
                  <c:v>24251560</c:v>
                </c:pt>
                <c:pt idx="2">
                  <c:v>26784958</c:v>
                </c:pt>
                <c:pt idx="3">
                  <c:v>27548177</c:v>
                </c:pt>
                <c:pt idx="4">
                  <c:v>23703246</c:v>
                </c:pt>
                <c:pt idx="5">
                  <c:v>22497314</c:v>
                </c:pt>
                <c:pt idx="6">
                  <c:v>24349894</c:v>
                </c:pt>
                <c:pt idx="7">
                  <c:v>25299051</c:v>
                </c:pt>
                <c:pt idx="8">
                  <c:v>20809294</c:v>
                </c:pt>
                <c:pt idx="9">
                  <c:v>24235904</c:v>
                </c:pt>
                <c:pt idx="10">
                  <c:v>23852316</c:v>
                </c:pt>
                <c:pt idx="11">
                  <c:v>22170355</c:v>
                </c:pt>
                <c:pt idx="12">
                  <c:v>23208094</c:v>
                </c:pt>
                <c:pt idx="13">
                  <c:v>26315766</c:v>
                </c:pt>
                <c:pt idx="14">
                  <c:v>26807574</c:v>
                </c:pt>
                <c:pt idx="15">
                  <c:v>27185244</c:v>
                </c:pt>
                <c:pt idx="16">
                  <c:v>29293527</c:v>
                </c:pt>
                <c:pt idx="17">
                  <c:v>26849375</c:v>
                </c:pt>
                <c:pt idx="18">
                  <c:v>28639957</c:v>
                </c:pt>
              </c:numCache>
            </c:numRef>
          </c:val>
          <c:smooth val="0"/>
        </c:ser>
        <c:ser>
          <c:idx val="2"/>
          <c:order val="2"/>
          <c:tx>
            <c:v>GN MOW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Sheet2!$M$3:$AE$3</c:f>
              <c:numCache>
                <c:ptCount val="1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</c:numCache>
            </c:numRef>
          </c:cat>
          <c:val>
            <c:numRef>
              <c:f>Sheet2!$M$107:$AE$107</c:f>
              <c:numCache>
                <c:ptCount val="19"/>
                <c:pt idx="0">
                  <c:v>33934442</c:v>
                </c:pt>
                <c:pt idx="1">
                  <c:v>38558278</c:v>
                </c:pt>
                <c:pt idx="2">
                  <c:v>41806617</c:v>
                </c:pt>
                <c:pt idx="3">
                  <c:v>44251625</c:v>
                </c:pt>
                <c:pt idx="4">
                  <c:v>43005425</c:v>
                </c:pt>
                <c:pt idx="5">
                  <c:v>44526195</c:v>
                </c:pt>
                <c:pt idx="6">
                  <c:v>46605965</c:v>
                </c:pt>
                <c:pt idx="7">
                  <c:v>47286947</c:v>
                </c:pt>
                <c:pt idx="8">
                  <c:v>35061772</c:v>
                </c:pt>
                <c:pt idx="9">
                  <c:v>36477469</c:v>
                </c:pt>
                <c:pt idx="10">
                  <c:v>35642681</c:v>
                </c:pt>
                <c:pt idx="11">
                  <c:v>32529610</c:v>
                </c:pt>
                <c:pt idx="12">
                  <c:v>33976326</c:v>
                </c:pt>
                <c:pt idx="13">
                  <c:v>33619411</c:v>
                </c:pt>
                <c:pt idx="14">
                  <c:v>35152347</c:v>
                </c:pt>
                <c:pt idx="15">
                  <c:v>32143694</c:v>
                </c:pt>
                <c:pt idx="16">
                  <c:v>33785929</c:v>
                </c:pt>
                <c:pt idx="17">
                  <c:v>35372195</c:v>
                </c:pt>
                <c:pt idx="18">
                  <c:v>35227394</c:v>
                </c:pt>
              </c:numCache>
            </c:numRef>
          </c:val>
          <c:smooth val="0"/>
        </c:ser>
        <c:ser>
          <c:idx val="3"/>
          <c:order val="3"/>
          <c:tx>
            <c:v>CBQ MOW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Sheet2!$M$3:$AE$3</c:f>
              <c:numCache>
                <c:ptCount val="1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</c:numCache>
            </c:numRef>
          </c:cat>
          <c:val>
            <c:numRef>
              <c:f>Sheet2!$M$127:$AE$127</c:f>
              <c:numCache>
                <c:ptCount val="19"/>
                <c:pt idx="0">
                  <c:v>28946400</c:v>
                </c:pt>
                <c:pt idx="1">
                  <c:v>36485879</c:v>
                </c:pt>
                <c:pt idx="2">
                  <c:v>36457566</c:v>
                </c:pt>
                <c:pt idx="3">
                  <c:v>43774901</c:v>
                </c:pt>
                <c:pt idx="4">
                  <c:v>30376145</c:v>
                </c:pt>
                <c:pt idx="5">
                  <c:v>32268241</c:v>
                </c:pt>
                <c:pt idx="6">
                  <c:v>34150261</c:v>
                </c:pt>
                <c:pt idx="7">
                  <c:v>27640639</c:v>
                </c:pt>
                <c:pt idx="8">
                  <c:v>31310006</c:v>
                </c:pt>
                <c:pt idx="9">
                  <c:v>28975000</c:v>
                </c:pt>
                <c:pt idx="10">
                  <c:v>29332228</c:v>
                </c:pt>
                <c:pt idx="11">
                  <c:v>30472908</c:v>
                </c:pt>
                <c:pt idx="12">
                  <c:v>31258448</c:v>
                </c:pt>
                <c:pt idx="13">
                  <c:v>31250448</c:v>
                </c:pt>
                <c:pt idx="14">
                  <c:v>31568065</c:v>
                </c:pt>
                <c:pt idx="15">
                  <c:v>31342215</c:v>
                </c:pt>
                <c:pt idx="16">
                  <c:v>30825973</c:v>
                </c:pt>
                <c:pt idx="17">
                  <c:v>27772883</c:v>
                </c:pt>
                <c:pt idx="18">
                  <c:v>31799673</c:v>
                </c:pt>
              </c:numCache>
            </c:numRef>
          </c:val>
          <c:smooth val="0"/>
        </c:ser>
        <c:ser>
          <c:idx val="4"/>
          <c:order val="4"/>
          <c:tx>
            <c:v>CNW MOW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Sheet2!$M$3:$AE$3</c:f>
              <c:numCache>
                <c:ptCount val="1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</c:numCache>
            </c:numRef>
          </c:cat>
          <c:val>
            <c:numRef>
              <c:f>Sheet2!$M$138:$AE$138</c:f>
              <c:numCache>
                <c:ptCount val="19"/>
                <c:pt idx="0">
                  <c:v>25466219</c:v>
                </c:pt>
                <c:pt idx="1">
                  <c:v>28620330</c:v>
                </c:pt>
                <c:pt idx="2">
                  <c:v>28491255</c:v>
                </c:pt>
                <c:pt idx="3">
                  <c:v>30261077</c:v>
                </c:pt>
                <c:pt idx="4">
                  <c:v>25641072</c:v>
                </c:pt>
                <c:pt idx="5">
                  <c:v>25745015</c:v>
                </c:pt>
                <c:pt idx="6">
                  <c:v>26380663</c:v>
                </c:pt>
                <c:pt idx="7">
                  <c:v>31905823</c:v>
                </c:pt>
                <c:pt idx="8">
                  <c:v>28508893</c:v>
                </c:pt>
                <c:pt idx="9">
                  <c:v>30633521</c:v>
                </c:pt>
                <c:pt idx="10">
                  <c:v>33890592</c:v>
                </c:pt>
                <c:pt idx="11">
                  <c:v>32662391</c:v>
                </c:pt>
                <c:pt idx="12">
                  <c:v>32712148</c:v>
                </c:pt>
                <c:pt idx="13">
                  <c:v>34144353</c:v>
                </c:pt>
                <c:pt idx="14">
                  <c:v>35554417</c:v>
                </c:pt>
                <c:pt idx="15">
                  <c:v>34786202</c:v>
                </c:pt>
                <c:pt idx="16">
                  <c:v>36391169</c:v>
                </c:pt>
                <c:pt idx="17">
                  <c:v>38605474</c:v>
                </c:pt>
                <c:pt idx="18">
                  <c:v>34748295</c:v>
                </c:pt>
              </c:numCache>
            </c:numRef>
          </c:val>
          <c:smooth val="0"/>
        </c:ser>
        <c:marker val="1"/>
        <c:axId val="35611193"/>
        <c:axId val="52065282"/>
      </c:lineChart>
      <c:catAx>
        <c:axId val="3561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65282"/>
        <c:crosses val="autoZero"/>
        <c:auto val="1"/>
        <c:lblOffset val="100"/>
        <c:noMultiLvlLbl val="0"/>
      </c:catAx>
      <c:valAx>
        <c:axId val="52065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1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Exhibit 8. Comparative Operating Ratios
Milwaukee Road, Northern Lines, North Western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7325"/>
          <c:w val="0.8165"/>
          <c:h val="0.63325"/>
        </c:manualLayout>
      </c:layout>
      <c:lineChart>
        <c:grouping val="standard"/>
        <c:varyColors val="0"/>
        <c:ser>
          <c:idx val="0"/>
          <c:order val="0"/>
          <c:tx>
            <c:v>Milwaukee Road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Sheet2!$M$3:$AP$3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Sheet2!$M$13:$AO$13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Northern Lines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Sheet2!$M$3:$AP$3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cat>
          <c:val>
            <c:numRef>
              <c:f>Sheet2!$M$144:$AP$144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North Western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Sheet2!$M$137:$AP$137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5934355"/>
        <c:axId val="56538284"/>
      </c:line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8284"/>
        <c:crosses val="autoZero"/>
        <c:auto val="1"/>
        <c:lblOffset val="100"/>
        <c:noMultiLvlLbl val="0"/>
      </c:catAx>
      <c:valAx>
        <c:axId val="56538284"/>
        <c:scaling>
          <c:orientation val="minMax"/>
          <c:max val="1.1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Operating Ratio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3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25"/>
          <c:w val="0.76525"/>
          <c:h val="0.15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Maintenance of Way Expenditures/
Mainline Mile, Selected Railroads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Milwaukee Road MOW/Mile of Mainline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Sheet2!$M$3:$AL$3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Sheet2!$M$101:$AL$101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Great Northern MOW/Mile of Mainline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Sheet2!$M$3:$AL$3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Sheet2!$M$111:$AE$111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Northern Pacific MOW/Mainline Mile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Sheet2!$M$3:$AL$3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Sheet2!$M$121:$AE$121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Burlington (Northern)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Sheet2!$M$132:$AL$132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9082509"/>
        <c:axId val="16198262"/>
      </c:lineChart>
      <c:catAx>
        <c:axId val="39082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98262"/>
        <c:crosses val="autoZero"/>
        <c:auto val="1"/>
        <c:lblOffset val="100"/>
        <c:noMultiLvlLbl val="0"/>
      </c:catAx>
      <c:valAx>
        <c:axId val="16198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82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581025</xdr:colOff>
      <xdr:row>35</xdr:row>
      <xdr:rowOff>19050</xdr:rowOff>
    </xdr:from>
    <xdr:to>
      <xdr:col>24</xdr:col>
      <xdr:colOff>476250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7286625" y="5686425"/>
        <a:ext cx="78200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30</xdr:row>
      <xdr:rowOff>85725</xdr:rowOff>
    </xdr:from>
    <xdr:to>
      <xdr:col>19</xdr:col>
      <xdr:colOff>581025</xdr:colOff>
      <xdr:row>59</xdr:row>
      <xdr:rowOff>66675</xdr:rowOff>
    </xdr:to>
    <xdr:graphicFrame>
      <xdr:nvGraphicFramePr>
        <xdr:cNvPr id="2" name="Chart 3"/>
        <xdr:cNvGraphicFramePr/>
      </xdr:nvGraphicFramePr>
      <xdr:xfrm>
        <a:off x="4591050" y="4943475"/>
        <a:ext cx="75723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57150</xdr:colOff>
      <xdr:row>153</xdr:row>
      <xdr:rowOff>38100</xdr:rowOff>
    </xdr:from>
    <xdr:to>
      <xdr:col>48</xdr:col>
      <xdr:colOff>85725</xdr:colOff>
      <xdr:row>174</xdr:row>
      <xdr:rowOff>76200</xdr:rowOff>
    </xdr:to>
    <xdr:graphicFrame>
      <xdr:nvGraphicFramePr>
        <xdr:cNvPr id="1" name="Chart 10"/>
        <xdr:cNvGraphicFramePr/>
      </xdr:nvGraphicFramePr>
      <xdr:xfrm>
        <a:off x="40490775" y="24812625"/>
        <a:ext cx="44291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123825</xdr:colOff>
      <xdr:row>140</xdr:row>
      <xdr:rowOff>104775</xdr:rowOff>
    </xdr:from>
    <xdr:to>
      <xdr:col>43</xdr:col>
      <xdr:colOff>47625</xdr:colOff>
      <xdr:row>163</xdr:row>
      <xdr:rowOff>19050</xdr:rowOff>
    </xdr:to>
    <xdr:graphicFrame>
      <xdr:nvGraphicFramePr>
        <xdr:cNvPr id="2" name="Chart 11"/>
        <xdr:cNvGraphicFramePr/>
      </xdr:nvGraphicFramePr>
      <xdr:xfrm>
        <a:off x="35947350" y="22774275"/>
        <a:ext cx="58864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857250</xdr:colOff>
      <xdr:row>112</xdr:row>
      <xdr:rowOff>38100</xdr:rowOff>
    </xdr:from>
    <xdr:to>
      <xdr:col>22</xdr:col>
      <xdr:colOff>247650</xdr:colOff>
      <xdr:row>137</xdr:row>
      <xdr:rowOff>0</xdr:rowOff>
    </xdr:to>
    <xdr:graphicFrame>
      <xdr:nvGraphicFramePr>
        <xdr:cNvPr id="3" name="Chart 13"/>
        <xdr:cNvGraphicFramePr/>
      </xdr:nvGraphicFramePr>
      <xdr:xfrm>
        <a:off x="18764250" y="18173700"/>
        <a:ext cx="629602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571500</xdr:colOff>
      <xdr:row>106</xdr:row>
      <xdr:rowOff>104775</xdr:rowOff>
    </xdr:from>
    <xdr:to>
      <xdr:col>25</xdr:col>
      <xdr:colOff>390525</xdr:colOff>
      <xdr:row>135</xdr:row>
      <xdr:rowOff>142875</xdr:rowOff>
    </xdr:to>
    <xdr:graphicFrame>
      <xdr:nvGraphicFramePr>
        <xdr:cNvPr id="4" name="Chart 28"/>
        <xdr:cNvGraphicFramePr/>
      </xdr:nvGraphicFramePr>
      <xdr:xfrm>
        <a:off x="20574000" y="17268825"/>
        <a:ext cx="7820025" cy="4733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workbookViewId="0" topLeftCell="A1">
      <selection activeCell="A8" sqref="A8"/>
    </sheetView>
  </sheetViews>
  <sheetFormatPr defaultColWidth="9.140625" defaultRowHeight="12.75"/>
  <sheetData>
    <row r="1" spans="1:3" ht="12.75">
      <c r="A1" s="41" t="s">
        <v>6</v>
      </c>
      <c r="B1" s="41"/>
      <c r="C1" s="41"/>
    </row>
    <row r="2" spans="3:32" ht="12.75">
      <c r="C2" s="1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</row>
    <row r="4" spans="1:24" ht="12.75">
      <c r="A4" t="s">
        <v>0</v>
      </c>
      <c r="C4">
        <v>67.5</v>
      </c>
      <c r="D4">
        <v>72</v>
      </c>
      <c r="E4">
        <v>72.5</v>
      </c>
      <c r="F4">
        <v>74</v>
      </c>
      <c r="G4">
        <v>72.9</v>
      </c>
      <c r="H4">
        <v>73.6</v>
      </c>
      <c r="I4">
        <v>72.4</v>
      </c>
      <c r="J4">
        <v>71</v>
      </c>
      <c r="K4">
        <v>70.7</v>
      </c>
      <c r="L4">
        <v>72.7</v>
      </c>
      <c r="M4">
        <v>72.8</v>
      </c>
      <c r="N4">
        <v>71.7</v>
      </c>
      <c r="O4">
        <v>72.8</v>
      </c>
      <c r="P4">
        <v>72.5</v>
      </c>
      <c r="Q4">
        <v>74.8</v>
      </c>
      <c r="R4">
        <v>73.8</v>
      </c>
      <c r="S4">
        <v>73.5</v>
      </c>
      <c r="T4">
        <v>74.2</v>
      </c>
      <c r="U4">
        <v>76.9</v>
      </c>
      <c r="V4">
        <v>85.7</v>
      </c>
      <c r="W4">
        <v>81.7</v>
      </c>
      <c r="X4">
        <v>80.5</v>
      </c>
    </row>
    <row r="5" spans="1:21" ht="12.75">
      <c r="A5" t="s">
        <v>1</v>
      </c>
      <c r="C5">
        <v>61.7</v>
      </c>
      <c r="D5">
        <v>64.4</v>
      </c>
      <c r="E5">
        <v>63.2</v>
      </c>
      <c r="F5">
        <v>62.4</v>
      </c>
      <c r="G5">
        <v>64.7</v>
      </c>
      <c r="H5">
        <v>62.7</v>
      </c>
      <c r="I5">
        <v>64.6</v>
      </c>
      <c r="J5">
        <v>66.3</v>
      </c>
      <c r="K5">
        <v>64.9</v>
      </c>
      <c r="L5">
        <v>67.3</v>
      </c>
      <c r="M5">
        <v>70.1</v>
      </c>
      <c r="N5">
        <v>72</v>
      </c>
      <c r="O5">
        <v>72</v>
      </c>
      <c r="P5">
        <v>69.7</v>
      </c>
      <c r="Q5">
        <v>70.8</v>
      </c>
      <c r="R5">
        <v>67.9</v>
      </c>
      <c r="S5">
        <v>67.4</v>
      </c>
      <c r="T5">
        <v>75</v>
      </c>
      <c r="U5">
        <v>74.8</v>
      </c>
    </row>
    <row r="6" spans="1:21" ht="12.75">
      <c r="A6" t="s">
        <v>2</v>
      </c>
      <c r="C6">
        <v>65.1</v>
      </c>
      <c r="D6">
        <v>70.5</v>
      </c>
      <c r="E6">
        <v>72</v>
      </c>
      <c r="F6">
        <v>71.3</v>
      </c>
      <c r="G6">
        <v>72.7</v>
      </c>
      <c r="H6">
        <v>69</v>
      </c>
      <c r="I6">
        <v>71.1</v>
      </c>
      <c r="J6">
        <v>72.4</v>
      </c>
      <c r="K6">
        <v>69.5</v>
      </c>
      <c r="L6">
        <v>69.7</v>
      </c>
      <c r="M6">
        <v>74.5</v>
      </c>
      <c r="N6">
        <v>77.3</v>
      </c>
      <c r="O6">
        <v>76.2</v>
      </c>
      <c r="P6">
        <v>76.6</v>
      </c>
      <c r="Q6">
        <v>76.6</v>
      </c>
      <c r="R6">
        <v>73.5</v>
      </c>
      <c r="S6">
        <v>71.9</v>
      </c>
      <c r="T6">
        <v>78.9</v>
      </c>
      <c r="U6">
        <v>76.6</v>
      </c>
    </row>
    <row r="7" spans="1:27" ht="12.75">
      <c r="A7" t="s">
        <v>3</v>
      </c>
      <c r="C7">
        <v>57.6</v>
      </c>
      <c r="D7">
        <v>57.6</v>
      </c>
      <c r="E7">
        <v>62.1</v>
      </c>
      <c r="F7">
        <v>62.1</v>
      </c>
      <c r="G7">
        <v>63.1</v>
      </c>
      <c r="H7">
        <v>65</v>
      </c>
      <c r="I7">
        <v>64.3</v>
      </c>
      <c r="J7">
        <v>67.6</v>
      </c>
      <c r="K7">
        <v>65.9</v>
      </c>
      <c r="L7">
        <v>69.5</v>
      </c>
      <c r="M7">
        <v>71.8</v>
      </c>
      <c r="N7">
        <v>71.1</v>
      </c>
      <c r="O7">
        <v>70.7</v>
      </c>
      <c r="P7">
        <v>71.4</v>
      </c>
      <c r="Q7">
        <v>73.2</v>
      </c>
      <c r="R7">
        <v>73.4</v>
      </c>
      <c r="S7">
        <v>70.3</v>
      </c>
      <c r="T7">
        <v>72.2</v>
      </c>
      <c r="U7">
        <v>71.1</v>
      </c>
      <c r="V7">
        <v>77</v>
      </c>
      <c r="W7">
        <v>76.8</v>
      </c>
      <c r="X7">
        <v>79.1</v>
      </c>
      <c r="Y7">
        <v>81.6</v>
      </c>
      <c r="Z7">
        <v>81.7</v>
      </c>
      <c r="AA7">
        <v>79.2</v>
      </c>
    </row>
    <row r="8" spans="1:27" ht="12.75">
      <c r="A8" t="s">
        <v>4</v>
      </c>
      <c r="C8">
        <v>70</v>
      </c>
      <c r="D8">
        <v>73.4</v>
      </c>
      <c r="E8">
        <v>72.4</v>
      </c>
      <c r="F8">
        <v>71.1</v>
      </c>
      <c r="G8">
        <v>75</v>
      </c>
      <c r="H8">
        <v>72.4</v>
      </c>
      <c r="I8">
        <v>76.2</v>
      </c>
      <c r="J8">
        <v>75.9</v>
      </c>
      <c r="K8">
        <v>74.7</v>
      </c>
      <c r="L8">
        <v>73.8</v>
      </c>
      <c r="M8">
        <v>78.4</v>
      </c>
      <c r="N8">
        <v>76</v>
      </c>
      <c r="O8">
        <v>81.5</v>
      </c>
      <c r="P8">
        <v>78.2</v>
      </c>
      <c r="Q8">
        <v>80.3</v>
      </c>
      <c r="R8">
        <v>77.3</v>
      </c>
      <c r="S8">
        <v>77.4</v>
      </c>
      <c r="T8">
        <v>86.2</v>
      </c>
      <c r="U8">
        <v>84.6</v>
      </c>
      <c r="V8">
        <v>87.8</v>
      </c>
      <c r="W8">
        <v>80.5</v>
      </c>
      <c r="X8">
        <v>80.1</v>
      </c>
      <c r="Y8">
        <v>82.6</v>
      </c>
      <c r="Z8">
        <v>75.2</v>
      </c>
      <c r="AA8">
        <v>77.7</v>
      </c>
    </row>
    <row r="9" spans="1:27" ht="12.75">
      <c r="A9" t="s">
        <v>5</v>
      </c>
      <c r="C9">
        <v>59.2</v>
      </c>
      <c r="D9">
        <v>62</v>
      </c>
      <c r="E9">
        <v>62.8</v>
      </c>
      <c r="F9">
        <v>62.8</v>
      </c>
      <c r="G9">
        <v>61.6</v>
      </c>
      <c r="H9">
        <v>60.3</v>
      </c>
      <c r="I9">
        <v>61.8</v>
      </c>
      <c r="J9">
        <v>62.8</v>
      </c>
      <c r="K9">
        <v>61.9</v>
      </c>
      <c r="L9">
        <v>62.4</v>
      </c>
      <c r="M9">
        <v>62.9</v>
      </c>
      <c r="N9">
        <v>64</v>
      </c>
      <c r="O9">
        <v>64.3</v>
      </c>
      <c r="P9">
        <v>63.7</v>
      </c>
      <c r="Q9">
        <v>66.9</v>
      </c>
      <c r="R9">
        <v>66.3</v>
      </c>
      <c r="S9">
        <v>65.3</v>
      </c>
      <c r="T9">
        <v>67.1</v>
      </c>
      <c r="U9">
        <v>68.6</v>
      </c>
      <c r="V9">
        <v>69.5</v>
      </c>
      <c r="W9">
        <v>70.1</v>
      </c>
      <c r="X9">
        <v>73.1</v>
      </c>
      <c r="Y9">
        <v>73.6</v>
      </c>
      <c r="Z9">
        <v>73.9</v>
      </c>
      <c r="AA9">
        <v>76.7</v>
      </c>
    </row>
    <row r="11" spans="1:3" ht="12.75">
      <c r="A11" s="41" t="s">
        <v>19</v>
      </c>
      <c r="B11" s="41"/>
      <c r="C11" s="41"/>
    </row>
    <row r="12" spans="1:24" ht="12.75">
      <c r="A12" t="s">
        <v>8</v>
      </c>
      <c r="F12">
        <v>84</v>
      </c>
      <c r="G12">
        <v>83.9</v>
      </c>
      <c r="H12">
        <v>83.4</v>
      </c>
      <c r="I12">
        <v>83</v>
      </c>
      <c r="J12">
        <v>82</v>
      </c>
      <c r="K12">
        <v>81.6</v>
      </c>
      <c r="L12">
        <v>82.2</v>
      </c>
      <c r="M12">
        <v>81.6</v>
      </c>
      <c r="N12">
        <v>79.3</v>
      </c>
      <c r="O12">
        <v>79.5</v>
      </c>
      <c r="P12">
        <v>79.4</v>
      </c>
      <c r="Q12">
        <v>80.9</v>
      </c>
      <c r="R12">
        <v>79.4</v>
      </c>
      <c r="S12">
        <v>79.4</v>
      </c>
      <c r="T12">
        <v>79.6</v>
      </c>
      <c r="U12">
        <v>81.7</v>
      </c>
      <c r="V12">
        <v>85.7</v>
      </c>
      <c r="W12">
        <v>85.5</v>
      </c>
      <c r="X12">
        <v>82.2</v>
      </c>
    </row>
    <row r="13" spans="1:21" ht="12.75">
      <c r="A13" t="s">
        <v>9</v>
      </c>
      <c r="F13">
        <v>72.7</v>
      </c>
      <c r="G13">
        <v>75.4</v>
      </c>
      <c r="H13">
        <v>72.8</v>
      </c>
      <c r="I13">
        <v>74.6</v>
      </c>
      <c r="J13">
        <v>77.1</v>
      </c>
      <c r="K13">
        <v>75.8</v>
      </c>
      <c r="L13">
        <v>77.4</v>
      </c>
      <c r="M13">
        <v>78.9</v>
      </c>
      <c r="N13">
        <v>79.4</v>
      </c>
      <c r="O13">
        <v>78.6</v>
      </c>
      <c r="P13">
        <v>76.8</v>
      </c>
      <c r="Q13">
        <v>77.9</v>
      </c>
      <c r="R13">
        <v>75.6</v>
      </c>
      <c r="S13">
        <v>73.8</v>
      </c>
      <c r="T13">
        <v>81.8</v>
      </c>
      <c r="U13">
        <v>81.6</v>
      </c>
    </row>
    <row r="14" spans="1:21" ht="12.75">
      <c r="A14" t="s">
        <v>10</v>
      </c>
      <c r="F14">
        <v>81.1</v>
      </c>
      <c r="G14">
        <v>83.1</v>
      </c>
      <c r="H14">
        <v>78.7</v>
      </c>
      <c r="I14">
        <v>80.5</v>
      </c>
      <c r="J14">
        <v>82.8</v>
      </c>
      <c r="K14">
        <v>80</v>
      </c>
      <c r="L14">
        <v>80</v>
      </c>
      <c r="M14">
        <v>84.5</v>
      </c>
      <c r="N14">
        <v>86.6</v>
      </c>
      <c r="O14">
        <v>86</v>
      </c>
      <c r="P14">
        <v>85</v>
      </c>
      <c r="Q14">
        <v>85.3</v>
      </c>
      <c r="R14">
        <v>82.7</v>
      </c>
      <c r="S14">
        <v>80.3</v>
      </c>
      <c r="T14">
        <v>86.3</v>
      </c>
      <c r="U14">
        <v>84.5</v>
      </c>
    </row>
    <row r="15" spans="1:32" ht="12.75">
      <c r="A15" t="s">
        <v>11</v>
      </c>
      <c r="F15">
        <v>73</v>
      </c>
      <c r="G15">
        <v>75.4</v>
      </c>
      <c r="H15">
        <v>76.5</v>
      </c>
      <c r="I15">
        <v>76.4</v>
      </c>
      <c r="J15">
        <v>80</v>
      </c>
      <c r="K15">
        <v>77.6</v>
      </c>
      <c r="L15">
        <v>80</v>
      </c>
      <c r="O15">
        <v>78.9</v>
      </c>
      <c r="P15">
        <v>79.7</v>
      </c>
      <c r="Q15">
        <v>81.3</v>
      </c>
      <c r="R15">
        <v>82</v>
      </c>
      <c r="S15">
        <v>78.6</v>
      </c>
      <c r="T15">
        <v>81.4</v>
      </c>
      <c r="U15">
        <v>80.1</v>
      </c>
      <c r="V15">
        <v>83</v>
      </c>
      <c r="W15">
        <v>84.4</v>
      </c>
      <c r="X15">
        <v>82.8</v>
      </c>
      <c r="Y15">
        <v>82.4</v>
      </c>
      <c r="Z15">
        <v>82.3</v>
      </c>
      <c r="AA15">
        <v>79.4</v>
      </c>
      <c r="AB15">
        <v>80.7</v>
      </c>
      <c r="AC15">
        <v>81.4</v>
      </c>
      <c r="AD15">
        <v>83.2</v>
      </c>
      <c r="AE15">
        <v>96.1</v>
      </c>
      <c r="AF15">
        <v>95.9</v>
      </c>
    </row>
    <row r="16" spans="1:32" ht="12.75">
      <c r="A16" t="s">
        <v>12</v>
      </c>
      <c r="F16">
        <v>85.9</v>
      </c>
      <c r="G16">
        <v>88.6</v>
      </c>
      <c r="H16">
        <v>84.7</v>
      </c>
      <c r="I16">
        <v>88.4</v>
      </c>
      <c r="J16">
        <v>85.4</v>
      </c>
      <c r="K16">
        <v>82.9</v>
      </c>
      <c r="L16">
        <v>85.7</v>
      </c>
      <c r="M16">
        <v>86.2</v>
      </c>
      <c r="N16">
        <v>81.1</v>
      </c>
      <c r="O16">
        <v>85.9</v>
      </c>
      <c r="P16">
        <v>81.3</v>
      </c>
      <c r="Q16">
        <v>82.5</v>
      </c>
      <c r="R16">
        <v>79.6</v>
      </c>
      <c r="S16">
        <v>79.4</v>
      </c>
      <c r="T16">
        <v>84.1</v>
      </c>
      <c r="U16">
        <v>84.1</v>
      </c>
      <c r="V16">
        <v>86.7</v>
      </c>
      <c r="W16">
        <v>81.3</v>
      </c>
      <c r="X16">
        <v>81</v>
      </c>
      <c r="Y16">
        <v>82.8</v>
      </c>
      <c r="Z16">
        <v>77.1</v>
      </c>
      <c r="AA16">
        <v>78.5</v>
      </c>
      <c r="AB16">
        <v>82.9</v>
      </c>
      <c r="AC16">
        <v>79.1</v>
      </c>
      <c r="AD16">
        <v>94.1</v>
      </c>
      <c r="AE16">
        <v>94.6</v>
      </c>
      <c r="AF16">
        <v>98.4</v>
      </c>
    </row>
    <row r="17" spans="1:28" ht="12.75">
      <c r="A17" t="s">
        <v>5</v>
      </c>
      <c r="F17">
        <v>75.6</v>
      </c>
      <c r="G17">
        <v>76</v>
      </c>
      <c r="H17">
        <v>72.7</v>
      </c>
      <c r="I17">
        <v>73.2</v>
      </c>
      <c r="J17">
        <v>74</v>
      </c>
      <c r="K17">
        <v>73.5</v>
      </c>
      <c r="L17">
        <v>73.4</v>
      </c>
      <c r="M17">
        <v>72.8</v>
      </c>
      <c r="N17">
        <v>72.3</v>
      </c>
      <c r="O17">
        <v>72.3</v>
      </c>
      <c r="P17">
        <v>71.7</v>
      </c>
      <c r="Q17">
        <v>74.7</v>
      </c>
      <c r="R17">
        <v>73.5</v>
      </c>
      <c r="U17">
        <v>75.6</v>
      </c>
      <c r="V17">
        <v>75.6</v>
      </c>
      <c r="W17">
        <v>75.1</v>
      </c>
      <c r="X17">
        <v>74.7</v>
      </c>
      <c r="Y17">
        <v>73.7</v>
      </c>
      <c r="Z17">
        <v>74.1</v>
      </c>
      <c r="AA17">
        <v>73.6</v>
      </c>
      <c r="AB17">
        <v>76.7</v>
      </c>
    </row>
    <row r="19" spans="6:21" ht="12.75">
      <c r="F19" s="2">
        <f>AVERAGE(F13:F15)</f>
        <v>75.60000000000001</v>
      </c>
      <c r="G19" s="2">
        <f aca="true" t="shared" si="0" ref="G19:U19">AVERAGE(G13:G15)</f>
        <v>77.96666666666667</v>
      </c>
      <c r="H19" s="2">
        <f t="shared" si="0"/>
        <v>76</v>
      </c>
      <c r="I19" s="2">
        <f t="shared" si="0"/>
        <v>77.16666666666667</v>
      </c>
      <c r="J19" s="2">
        <f t="shared" si="0"/>
        <v>79.96666666666665</v>
      </c>
      <c r="K19" s="2">
        <f t="shared" si="0"/>
        <v>77.8</v>
      </c>
      <c r="L19" s="2">
        <f t="shared" si="0"/>
        <v>79.13333333333334</v>
      </c>
      <c r="M19" s="2">
        <f t="shared" si="0"/>
        <v>81.7</v>
      </c>
      <c r="N19" s="2">
        <f t="shared" si="0"/>
        <v>83</v>
      </c>
      <c r="O19" s="2">
        <f t="shared" si="0"/>
        <v>81.16666666666667</v>
      </c>
      <c r="P19" s="2">
        <f t="shared" si="0"/>
        <v>80.5</v>
      </c>
      <c r="Q19" s="2">
        <f t="shared" si="0"/>
        <v>81.5</v>
      </c>
      <c r="R19" s="2">
        <f t="shared" si="0"/>
        <v>80.10000000000001</v>
      </c>
      <c r="S19" s="2">
        <f t="shared" si="0"/>
        <v>77.56666666666666</v>
      </c>
      <c r="T19" s="2">
        <f t="shared" si="0"/>
        <v>83.16666666666667</v>
      </c>
      <c r="U19" s="2">
        <f t="shared" si="0"/>
        <v>82.06666666666666</v>
      </c>
    </row>
    <row r="21" ht="12.75">
      <c r="G21" t="s">
        <v>7</v>
      </c>
    </row>
    <row r="22" spans="7:8" ht="12.75">
      <c r="G22" t="s">
        <v>8</v>
      </c>
      <c r="H22" s="2">
        <f>AVERAGE(J4:T4)</f>
        <v>72.77272727272727</v>
      </c>
    </row>
    <row r="23" spans="7:8" ht="12.75">
      <c r="G23" t="s">
        <v>9</v>
      </c>
      <c r="H23">
        <f>AVERAGE(J5:T5)</f>
        <v>69.39999999999999</v>
      </c>
    </row>
    <row r="24" spans="7:8" ht="12.75">
      <c r="G24" t="s">
        <v>10</v>
      </c>
      <c r="H24" s="2">
        <f>AVERAGE(J6:T6)</f>
        <v>74.28181818181818</v>
      </c>
    </row>
    <row r="25" spans="7:8" ht="12.75">
      <c r="G25" t="s">
        <v>11</v>
      </c>
      <c r="H25" s="2">
        <f>AVERAGE(J7:T7)</f>
        <v>70.64545454545454</v>
      </c>
    </row>
    <row r="26" spans="7:8" ht="12.75">
      <c r="G26" t="s">
        <v>12</v>
      </c>
      <c r="H26" s="2">
        <f>AVERAGE(J8:T8)</f>
        <v>78.15454545454546</v>
      </c>
    </row>
    <row r="29" spans="7:8" ht="12.75">
      <c r="G29" t="s">
        <v>13</v>
      </c>
      <c r="H29" s="2">
        <f>+AVERAGE(H23:H25)</f>
        <v>71.44242424242424</v>
      </c>
    </row>
    <row r="30" spans="7:8" ht="12.75">
      <c r="G30" t="s">
        <v>14</v>
      </c>
      <c r="H30" s="2">
        <f>AVERAGE(H23:H26)</f>
        <v>73.12045454545455</v>
      </c>
    </row>
  </sheetData>
  <mergeCells count="2">
    <mergeCell ref="A1:C1"/>
    <mergeCell ref="A11:C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4.8515625" style="0" customWidth="1"/>
    <col min="7" max="7" width="20.421875" style="0" customWidth="1"/>
    <col min="8" max="8" width="15.28125" style="0" customWidth="1"/>
    <col min="9" max="9" width="12.140625" style="0" customWidth="1"/>
    <col min="10" max="10" width="12.7109375" style="0" customWidth="1"/>
    <col min="11" max="11" width="12.57421875" style="0" customWidth="1"/>
    <col min="12" max="12" width="13.140625" style="0" customWidth="1"/>
    <col min="13" max="13" width="12.140625" style="0" customWidth="1"/>
    <col min="14" max="14" width="13.00390625" style="0" customWidth="1"/>
    <col min="15" max="15" width="13.57421875" style="0" customWidth="1"/>
    <col min="16" max="16" width="13.28125" style="0" customWidth="1"/>
    <col min="17" max="17" width="12.140625" style="0" customWidth="1"/>
    <col min="18" max="18" width="12.28125" style="0" customWidth="1"/>
    <col min="19" max="19" width="11.7109375" style="0" customWidth="1"/>
    <col min="20" max="20" width="15.8515625" style="0" customWidth="1"/>
    <col min="21" max="21" width="12.57421875" style="0" customWidth="1"/>
    <col min="22" max="22" width="15.00390625" style="0" customWidth="1"/>
    <col min="23" max="23" width="15.140625" style="0" customWidth="1"/>
    <col min="24" max="24" width="14.00390625" style="0" customWidth="1"/>
    <col min="25" max="25" width="15.140625" style="0" customWidth="1"/>
  </cols>
  <sheetData>
    <row r="1" spans="1:25" ht="12.75">
      <c r="A1" t="s">
        <v>0</v>
      </c>
      <c r="B1">
        <v>1939</v>
      </c>
      <c r="C1">
        <v>1940</v>
      </c>
      <c r="D1">
        <v>1941</v>
      </c>
      <c r="E1">
        <v>1942</v>
      </c>
      <c r="F1">
        <v>1943</v>
      </c>
      <c r="G1">
        <v>1944</v>
      </c>
      <c r="H1">
        <v>1945</v>
      </c>
      <c r="I1">
        <v>1946</v>
      </c>
      <c r="J1">
        <v>1947</v>
      </c>
      <c r="K1">
        <v>1948</v>
      </c>
      <c r="L1">
        <v>1949</v>
      </c>
      <c r="M1">
        <v>1950</v>
      </c>
      <c r="N1">
        <v>1951</v>
      </c>
      <c r="O1">
        <v>1952</v>
      </c>
      <c r="P1">
        <v>1953</v>
      </c>
      <c r="Q1">
        <v>1954</v>
      </c>
      <c r="R1">
        <v>1955</v>
      </c>
      <c r="S1">
        <v>1956</v>
      </c>
      <c r="T1">
        <v>1957</v>
      </c>
      <c r="U1">
        <v>1958</v>
      </c>
      <c r="V1">
        <v>1959</v>
      </c>
      <c r="W1">
        <v>1960</v>
      </c>
      <c r="X1">
        <v>1961</v>
      </c>
      <c r="Y1">
        <v>1962</v>
      </c>
    </row>
    <row r="2" spans="1:25" ht="12.75">
      <c r="A2" t="s">
        <v>16</v>
      </c>
      <c r="E2">
        <v>179867280</v>
      </c>
      <c r="F2">
        <v>224515240</v>
      </c>
      <c r="G2">
        <v>226709693</v>
      </c>
      <c r="H2">
        <v>228946936</v>
      </c>
      <c r="I2">
        <v>201180111</v>
      </c>
      <c r="J2">
        <v>231478568</v>
      </c>
      <c r="K2">
        <v>254082710</v>
      </c>
      <c r="L2">
        <v>238021260</v>
      </c>
      <c r="M2">
        <v>255421646</v>
      </c>
      <c r="N2">
        <v>285409542</v>
      </c>
      <c r="O2">
        <v>269465584</v>
      </c>
      <c r="P2">
        <v>259860191</v>
      </c>
      <c r="Q2">
        <v>237744639</v>
      </c>
      <c r="R2">
        <v>245498210</v>
      </c>
      <c r="S2">
        <v>253860566</v>
      </c>
      <c r="T2">
        <v>254027186</v>
      </c>
      <c r="U2">
        <v>244262808</v>
      </c>
      <c r="V2">
        <v>242041825</v>
      </c>
      <c r="W2">
        <v>230362902</v>
      </c>
      <c r="X2">
        <v>221832116</v>
      </c>
      <c r="Y2">
        <v>227664109</v>
      </c>
    </row>
    <row r="3" spans="1:25" ht="12.75">
      <c r="A3" t="s">
        <v>90</v>
      </c>
      <c r="G3">
        <v>100</v>
      </c>
      <c r="H3">
        <v>100.98683164817305</v>
      </c>
      <c r="I3">
        <v>88.7390866873963</v>
      </c>
      <c r="J3">
        <v>102.1035161474106</v>
      </c>
      <c r="K3">
        <v>112.0740391104495</v>
      </c>
      <c r="L3">
        <v>104.98945009819232</v>
      </c>
      <c r="M3">
        <v>112.66463406132353</v>
      </c>
      <c r="N3">
        <v>125.89207731845855</v>
      </c>
      <c r="O3">
        <v>118.85931317458049</v>
      </c>
      <c r="P3">
        <v>114.622444043449</v>
      </c>
      <c r="Q3">
        <v>104.86743458295804</v>
      </c>
      <c r="R3">
        <v>108.28747847142115</v>
      </c>
      <c r="S3">
        <v>111.97605300449152</v>
      </c>
      <c r="T3">
        <v>112.04954787707291</v>
      </c>
      <c r="U3">
        <v>107.74255161644103</v>
      </c>
      <c r="V3">
        <v>106.76289213624403</v>
      </c>
      <c r="W3">
        <v>101.61140397292144</v>
      </c>
      <c r="X3">
        <v>97.84853618940765</v>
      </c>
      <c r="Y3">
        <v>100.42098596992939</v>
      </c>
    </row>
    <row r="4" spans="1:25" ht="12.75">
      <c r="A4" t="s">
        <v>17</v>
      </c>
      <c r="E4">
        <v>115963264</v>
      </c>
      <c r="F4">
        <v>145735801</v>
      </c>
      <c r="G4">
        <v>160585506</v>
      </c>
      <c r="H4">
        <v>186859417</v>
      </c>
      <c r="I4">
        <v>171823263</v>
      </c>
      <c r="J4">
        <v>186135168</v>
      </c>
      <c r="K4">
        <v>210276587</v>
      </c>
      <c r="L4">
        <v>202111827</v>
      </c>
      <c r="M4">
        <v>199650956</v>
      </c>
      <c r="N4">
        <v>219455141</v>
      </c>
      <c r="O4">
        <v>222122738</v>
      </c>
      <c r="P4">
        <v>218183759</v>
      </c>
      <c r="Q4">
        <v>199410604</v>
      </c>
      <c r="R4">
        <v>204641342</v>
      </c>
      <c r="S4">
        <v>210746299</v>
      </c>
      <c r="T4">
        <v>208178811</v>
      </c>
      <c r="U4">
        <v>199411847</v>
      </c>
      <c r="V4">
        <v>198851581</v>
      </c>
      <c r="W4">
        <v>187929803</v>
      </c>
      <c r="X4">
        <v>175883563</v>
      </c>
      <c r="Y4">
        <v>180984293</v>
      </c>
    </row>
    <row r="5" spans="1:25" ht="12.75">
      <c r="A5" t="s">
        <v>91</v>
      </c>
      <c r="G5">
        <v>100</v>
      </c>
      <c r="H5">
        <v>116.36132155040193</v>
      </c>
      <c r="I5">
        <v>106.99798959440336</v>
      </c>
      <c r="J5">
        <v>115.91031633950826</v>
      </c>
      <c r="K5">
        <v>130.94368989938607</v>
      </c>
      <c r="L5">
        <v>125.85932070357582</v>
      </c>
      <c r="M5">
        <v>124.32688414606983</v>
      </c>
      <c r="N5">
        <v>136.65937011774898</v>
      </c>
      <c r="O5">
        <v>138.3205393393349</v>
      </c>
      <c r="P5">
        <v>135.8676535851249</v>
      </c>
      <c r="Q5">
        <v>124.17721185870909</v>
      </c>
      <c r="R5">
        <v>127.43450333556254</v>
      </c>
      <c r="S5">
        <v>131.2361895226086</v>
      </c>
      <c r="T5">
        <v>129.63736029825753</v>
      </c>
      <c r="U5">
        <v>124.17798590116844</v>
      </c>
      <c r="V5">
        <v>123.8290963818366</v>
      </c>
      <c r="W5">
        <v>117.0278736114578</v>
      </c>
      <c r="X5">
        <v>109.52642450807484</v>
      </c>
      <c r="Y5">
        <v>112.70275724634824</v>
      </c>
    </row>
    <row r="6" spans="1:25" ht="12.75">
      <c r="A6" t="s">
        <v>92</v>
      </c>
      <c r="G6">
        <v>100</v>
      </c>
      <c r="H6">
        <v>102.9808661310209</v>
      </c>
      <c r="I6">
        <v>107.54530612655093</v>
      </c>
      <c r="J6">
        <v>119.65986984933804</v>
      </c>
      <c r="K6">
        <v>146.73636129894726</v>
      </c>
      <c r="L6">
        <v>138.80324893333085</v>
      </c>
      <c r="M6">
        <v>142.17010014866244</v>
      </c>
      <c r="N6">
        <v>152.8314491887674</v>
      </c>
      <c r="O6">
        <v>146.49934562379568</v>
      </c>
      <c r="P6">
        <v>138.85686802477474</v>
      </c>
      <c r="Q6">
        <v>128.47849467465235</v>
      </c>
      <c r="R6">
        <v>129.1148429663261</v>
      </c>
      <c r="S6">
        <v>139.59631245574025</v>
      </c>
      <c r="T6">
        <v>143.358766279824</v>
      </c>
      <c r="U6">
        <v>136.90556170339607</v>
      </c>
      <c r="V6">
        <v>142.1576115192682</v>
      </c>
      <c r="W6">
        <v>136.46182499143455</v>
      </c>
      <c r="X6">
        <v>127.15479219862735</v>
      </c>
      <c r="Y6">
        <v>129.72917063228832</v>
      </c>
    </row>
    <row r="7" spans="1:25" ht="12.75">
      <c r="A7" t="s">
        <v>43</v>
      </c>
      <c r="E7">
        <v>34504654</v>
      </c>
      <c r="F7">
        <v>50660954</v>
      </c>
      <c r="G7">
        <v>32709519</v>
      </c>
      <c r="H7">
        <v>26582330</v>
      </c>
      <c r="I7">
        <v>13346598</v>
      </c>
      <c r="J7">
        <v>45343400</v>
      </c>
      <c r="K7">
        <v>43806123</v>
      </c>
      <c r="L7">
        <v>35909433</v>
      </c>
      <c r="M7">
        <v>55770690</v>
      </c>
      <c r="N7">
        <v>65954401</v>
      </c>
      <c r="O7">
        <v>47342846</v>
      </c>
      <c r="P7">
        <v>41676432</v>
      </c>
      <c r="Q7">
        <v>38334035</v>
      </c>
      <c r="R7">
        <v>40856868</v>
      </c>
      <c r="S7">
        <v>43114267</v>
      </c>
      <c r="T7">
        <v>45848375</v>
      </c>
      <c r="U7">
        <v>44850961</v>
      </c>
      <c r="V7">
        <v>43190244</v>
      </c>
      <c r="W7">
        <v>42433099</v>
      </c>
      <c r="X7">
        <v>45948553</v>
      </c>
      <c r="Y7">
        <v>160585506</v>
      </c>
    </row>
    <row r="9" spans="1:25" ht="12.75">
      <c r="A9" t="s">
        <v>18</v>
      </c>
      <c r="F9">
        <v>0.6491131782412632</v>
      </c>
      <c r="G9">
        <v>0.7083310107962609</v>
      </c>
      <c r="H9">
        <v>0.8161691100334272</v>
      </c>
      <c r="I9">
        <v>0.8540767879385452</v>
      </c>
      <c r="J9">
        <v>0.8041140465323771</v>
      </c>
      <c r="K9">
        <v>0.8275910903185817</v>
      </c>
      <c r="L9">
        <v>0.849133505973374</v>
      </c>
      <c r="M9">
        <v>0.7816524524315375</v>
      </c>
      <c r="N9">
        <v>0.768913118538973</v>
      </c>
      <c r="O9">
        <v>0.8243083762414721</v>
      </c>
      <c r="P9">
        <v>0.8396197900123917</v>
      </c>
      <c r="Q9">
        <v>0.8387596239341489</v>
      </c>
      <c r="R9">
        <v>0.8335756989837115</v>
      </c>
      <c r="S9">
        <v>0.8301655602548369</v>
      </c>
      <c r="T9">
        <v>0.8195139043110133</v>
      </c>
      <c r="U9">
        <v>0.8163823573173694</v>
      </c>
      <c r="V9">
        <v>0.8215587574585508</v>
      </c>
      <c r="W9">
        <v>0.8157989041134757</v>
      </c>
      <c r="X9">
        <v>0.7928678956477159</v>
      </c>
      <c r="Y9">
        <v>0.7949619015266038</v>
      </c>
    </row>
    <row r="10" spans="1:9" ht="12.75">
      <c r="A10" t="s">
        <v>45</v>
      </c>
      <c r="E10">
        <v>0.06768507868690737</v>
      </c>
      <c r="F10">
        <v>0.13100947178463251</v>
      </c>
      <c r="G10">
        <v>0.08237940668906468</v>
      </c>
      <c r="H10">
        <v>0.061489842344952805</v>
      </c>
      <c r="I10">
        <v>0.015787186835780204</v>
      </c>
    </row>
    <row r="11" spans="1:25" ht="12.75">
      <c r="A11" t="s">
        <v>82</v>
      </c>
      <c r="G11">
        <v>1</v>
      </c>
      <c r="H11">
        <v>1.06</v>
      </c>
      <c r="I11">
        <v>1.02</v>
      </c>
      <c r="J11">
        <v>1.02</v>
      </c>
      <c r="K11">
        <v>1.08</v>
      </c>
      <c r="L11">
        <v>1.14</v>
      </c>
      <c r="M11">
        <v>1.08</v>
      </c>
      <c r="N11">
        <v>0.99</v>
      </c>
      <c r="O11">
        <v>1.01</v>
      </c>
      <c r="P11">
        <v>1.08</v>
      </c>
      <c r="Q11">
        <v>1.02</v>
      </c>
      <c r="R11">
        <v>1.01</v>
      </c>
      <c r="S11">
        <v>1</v>
      </c>
      <c r="T11">
        <v>1</v>
      </c>
      <c r="U11">
        <v>1.01</v>
      </c>
      <c r="V11">
        <v>1.04</v>
      </c>
      <c r="W11">
        <v>1.03</v>
      </c>
      <c r="X11">
        <v>1.01</v>
      </c>
      <c r="Y11">
        <v>1.02</v>
      </c>
    </row>
    <row r="12" spans="1:26" ht="12.75">
      <c r="A12" t="s">
        <v>84</v>
      </c>
      <c r="E12" s="8"/>
      <c r="F12" s="8"/>
      <c r="G12" s="8">
        <v>1</v>
      </c>
      <c r="H12" s="8">
        <f>H11+F12</f>
        <v>1.06</v>
      </c>
      <c r="I12" s="8">
        <f aca="true" t="shared" si="0" ref="I12:Z12">((I11-100%)+(H12-100%))+100%</f>
        <v>1.08</v>
      </c>
      <c r="J12" s="8">
        <f t="shared" si="0"/>
        <v>1.1</v>
      </c>
      <c r="K12" s="8">
        <f t="shared" si="0"/>
        <v>1.1800000000000002</v>
      </c>
      <c r="L12" s="8">
        <f t="shared" si="0"/>
        <v>1.32</v>
      </c>
      <c r="M12" s="8">
        <f t="shared" si="0"/>
        <v>1.4000000000000001</v>
      </c>
      <c r="N12" s="8">
        <f t="shared" si="0"/>
        <v>1.3900000000000001</v>
      </c>
      <c r="O12" s="8">
        <f t="shared" si="0"/>
        <v>1.4000000000000001</v>
      </c>
      <c r="P12" s="8">
        <f t="shared" si="0"/>
        <v>1.4800000000000002</v>
      </c>
      <c r="Q12" s="8">
        <f t="shared" si="0"/>
        <v>1.5000000000000002</v>
      </c>
      <c r="R12" s="8">
        <f t="shared" si="0"/>
        <v>1.5100000000000002</v>
      </c>
      <c r="S12" s="8">
        <f t="shared" si="0"/>
        <v>1.5100000000000002</v>
      </c>
      <c r="T12" s="8">
        <f t="shared" si="0"/>
        <v>1.5100000000000002</v>
      </c>
      <c r="U12" s="8">
        <f t="shared" si="0"/>
        <v>1.5200000000000002</v>
      </c>
      <c r="V12" s="8">
        <f t="shared" si="0"/>
        <v>1.5600000000000003</v>
      </c>
      <c r="W12" s="8">
        <f t="shared" si="0"/>
        <v>1.5900000000000003</v>
      </c>
      <c r="X12" s="8">
        <f t="shared" si="0"/>
        <v>1.6000000000000003</v>
      </c>
      <c r="Y12" s="8">
        <f t="shared" si="0"/>
        <v>1.6200000000000003</v>
      </c>
      <c r="Z12" s="8">
        <f t="shared" si="0"/>
        <v>0.6200000000000003</v>
      </c>
    </row>
    <row r="13" spans="1:8" ht="12.75">
      <c r="A13" t="s">
        <v>139</v>
      </c>
      <c r="D13">
        <v>1178183</v>
      </c>
      <c r="E13">
        <v>1467800</v>
      </c>
      <c r="F13">
        <v>1690268</v>
      </c>
      <c r="G13">
        <v>1706324</v>
      </c>
      <c r="H13">
        <v>1692867</v>
      </c>
    </row>
    <row r="14" spans="1:25" ht="12.75">
      <c r="A14" t="s">
        <v>47</v>
      </c>
      <c r="D14">
        <v>10097196000</v>
      </c>
      <c r="H14">
        <v>18182060000</v>
      </c>
      <c r="I14">
        <v>15744422</v>
      </c>
      <c r="N14">
        <v>16732324</v>
      </c>
      <c r="O14">
        <v>16005310</v>
      </c>
      <c r="V14">
        <v>14121940000</v>
      </c>
      <c r="W14">
        <v>13604642000</v>
      </c>
      <c r="X14">
        <v>13223111</v>
      </c>
      <c r="Y14">
        <v>14139668</v>
      </c>
    </row>
    <row r="15" spans="1:30" ht="12.75">
      <c r="A15" s="38" t="s">
        <v>66</v>
      </c>
      <c r="B15" s="38">
        <v>9234307122</v>
      </c>
      <c r="C15" s="38">
        <v>10097196568</v>
      </c>
      <c r="D15" s="38">
        <v>12804595331</v>
      </c>
      <c r="E15" s="38">
        <v>15908488274</v>
      </c>
      <c r="F15" s="38">
        <v>18209707441</v>
      </c>
      <c r="G15" s="38">
        <f>18323916893/1000</f>
        <v>18323916.893</v>
      </c>
      <c r="H15" s="38">
        <v>18182059</v>
      </c>
      <c r="I15" s="38">
        <v>15744421</v>
      </c>
      <c r="J15" s="38">
        <v>16958235</v>
      </c>
      <c r="K15" s="38">
        <v>16345256</v>
      </c>
      <c r="L15" s="38">
        <v>14774758</v>
      </c>
      <c r="M15" s="38">
        <v>16258839</v>
      </c>
      <c r="N15" s="38">
        <v>16732323</v>
      </c>
      <c r="O15" s="38">
        <v>16005309</v>
      </c>
      <c r="P15" s="38">
        <v>15561748</v>
      </c>
      <c r="Q15" s="38">
        <v>14178678</v>
      </c>
      <c r="R15" s="38">
        <v>15561748</v>
      </c>
      <c r="S15" s="38">
        <v>15612344</v>
      </c>
      <c r="T15" s="38">
        <v>14614118</v>
      </c>
      <c r="U15" s="38">
        <v>14270955</v>
      </c>
      <c r="V15" s="38">
        <v>14502976</v>
      </c>
      <c r="W15" s="38">
        <v>14121940</v>
      </c>
      <c r="X15" s="38">
        <v>13437356</v>
      </c>
      <c r="Y15" s="38">
        <v>14325591</v>
      </c>
      <c r="Z15" s="38"/>
      <c r="AA15" s="38"/>
      <c r="AB15" s="38"/>
      <c r="AC15" s="38"/>
      <c r="AD15" s="38"/>
    </row>
    <row r="16" spans="1:25" ht="12.75">
      <c r="A16" t="s">
        <v>161</v>
      </c>
      <c r="G16" s="5">
        <f aca="true" t="shared" si="1" ref="G16:Y16">G15*((G46-G35)/G46)</f>
        <v>16437716.229416361</v>
      </c>
      <c r="H16" s="5">
        <f t="shared" si="1"/>
        <v>16332734.670292541</v>
      </c>
      <c r="I16" s="5">
        <f t="shared" si="1"/>
        <v>14158007.367574317</v>
      </c>
      <c r="J16" s="5">
        <f t="shared" si="1"/>
        <v>15311658.92510485</v>
      </c>
      <c r="K16" s="5">
        <f t="shared" si="1"/>
        <v>14745392.231145596</v>
      </c>
      <c r="L16" s="5">
        <f t="shared" si="1"/>
        <v>13319637.016288962</v>
      </c>
      <c r="M16" s="5">
        <f t="shared" si="1"/>
        <v>14462464.46069496</v>
      </c>
      <c r="N16" s="5">
        <f t="shared" si="1"/>
        <v>14937247.85434295</v>
      </c>
      <c r="O16" s="5">
        <f t="shared" si="1"/>
        <v>14308463.047603277</v>
      </c>
      <c r="P16" s="5">
        <f t="shared" si="1"/>
        <v>13726822.283056397</v>
      </c>
      <c r="Q16" s="5">
        <f t="shared" si="1"/>
        <v>12336790.028688196</v>
      </c>
      <c r="R16" s="5">
        <f t="shared" si="1"/>
        <v>13614590.092954908</v>
      </c>
      <c r="S16" s="5">
        <f t="shared" si="1"/>
        <v>13740954.18994311</v>
      </c>
      <c r="T16" s="5">
        <f t="shared" si="1"/>
        <v>12914578.789862907</v>
      </c>
      <c r="U16" s="5">
        <f t="shared" si="1"/>
        <v>12620706.957872959</v>
      </c>
      <c r="V16" s="5">
        <f t="shared" si="1"/>
        <v>12830811.887493452</v>
      </c>
      <c r="W16" s="5">
        <f t="shared" si="1"/>
        <v>12489115.156753028</v>
      </c>
      <c r="X16" s="5">
        <f t="shared" si="1"/>
        <v>12003424.85706398</v>
      </c>
      <c r="Y16" s="5">
        <f t="shared" si="1"/>
        <v>12794847.6061296</v>
      </c>
    </row>
    <row r="17" spans="1:25" ht="12.75">
      <c r="A17" t="s">
        <v>67</v>
      </c>
      <c r="B17">
        <v>9234307</v>
      </c>
      <c r="C17">
        <v>10097196</v>
      </c>
      <c r="D17">
        <v>12804595</v>
      </c>
      <c r="E17">
        <v>15908488</v>
      </c>
      <c r="F17">
        <v>18209707</v>
      </c>
      <c r="G17">
        <v>18323916</v>
      </c>
      <c r="H17">
        <v>18.182059</v>
      </c>
      <c r="I17">
        <v>15744.421</v>
      </c>
      <c r="J17">
        <v>16958.235</v>
      </c>
      <c r="K17">
        <v>16345.256</v>
      </c>
      <c r="L17">
        <v>14774.758</v>
      </c>
      <c r="M17">
        <v>16258.839</v>
      </c>
      <c r="N17">
        <v>16732.323</v>
      </c>
      <c r="O17">
        <v>16005.309</v>
      </c>
      <c r="P17">
        <v>15561.748</v>
      </c>
      <c r="Q17">
        <v>14178.678</v>
      </c>
      <c r="R17">
        <v>15561.748</v>
      </c>
      <c r="S17">
        <v>15612.344</v>
      </c>
      <c r="T17">
        <v>14614.118</v>
      </c>
      <c r="U17">
        <v>14270.955</v>
      </c>
      <c r="V17">
        <v>14502.976</v>
      </c>
      <c r="W17">
        <v>14121.94</v>
      </c>
      <c r="X17">
        <v>13437.356</v>
      </c>
      <c r="Y17">
        <v>14325.591</v>
      </c>
    </row>
    <row r="18" spans="1:25" ht="12.75">
      <c r="A18" t="s">
        <v>60</v>
      </c>
      <c r="B18">
        <v>33841422</v>
      </c>
      <c r="C18">
        <v>35320967</v>
      </c>
      <c r="D18">
        <v>42907270</v>
      </c>
      <c r="E18">
        <v>48718373</v>
      </c>
      <c r="F18">
        <v>53824310</v>
      </c>
      <c r="G18">
        <v>53744554</v>
      </c>
      <c r="H18">
        <v>52326187</v>
      </c>
      <c r="I18">
        <v>50242184</v>
      </c>
      <c r="J18">
        <v>55204075</v>
      </c>
      <c r="K18">
        <v>53251082</v>
      </c>
      <c r="L18">
        <v>46245916</v>
      </c>
      <c r="M18">
        <v>50164902</v>
      </c>
      <c r="N18">
        <v>51740580</v>
      </c>
      <c r="O18">
        <v>49522089</v>
      </c>
      <c r="P18">
        <v>46810989</v>
      </c>
      <c r="Q18">
        <v>43123214</v>
      </c>
      <c r="R18">
        <v>45481060</v>
      </c>
      <c r="S18">
        <v>45351213</v>
      </c>
      <c r="T18">
        <v>42951573</v>
      </c>
      <c r="U18">
        <v>41259931</v>
      </c>
      <c r="V18">
        <v>41182762</v>
      </c>
      <c r="W18">
        <v>39147703</v>
      </c>
      <c r="X18">
        <v>37300275</v>
      </c>
      <c r="Y18">
        <v>39513106</v>
      </c>
    </row>
    <row r="20" spans="1:24" ht="12.75">
      <c r="A20" t="s">
        <v>37</v>
      </c>
      <c r="G20">
        <v>10886150</v>
      </c>
      <c r="H20">
        <v>10417925</v>
      </c>
      <c r="I20">
        <v>10190640</v>
      </c>
      <c r="J20">
        <v>9902125</v>
      </c>
      <c r="K20">
        <v>11591205</v>
      </c>
      <c r="L20">
        <v>10130739</v>
      </c>
      <c r="M20">
        <v>8350002</v>
      </c>
      <c r="N20">
        <v>8376748</v>
      </c>
      <c r="O20">
        <v>6992286</v>
      </c>
      <c r="P20">
        <v>4469992</v>
      </c>
      <c r="Q20">
        <v>1624902</v>
      </c>
      <c r="R20">
        <v>84258</v>
      </c>
      <c r="S20">
        <v>2915</v>
      </c>
      <c r="T20">
        <v>93</v>
      </c>
      <c r="U20">
        <v>0</v>
      </c>
      <c r="V20">
        <v>0</v>
      </c>
      <c r="W20">
        <v>0</v>
      </c>
      <c r="X20">
        <v>0</v>
      </c>
    </row>
    <row r="21" spans="1:25" ht="12.75">
      <c r="A21" t="s">
        <v>49</v>
      </c>
      <c r="G21">
        <v>1386335</v>
      </c>
      <c r="H21">
        <v>1715568</v>
      </c>
      <c r="I21">
        <v>1846174</v>
      </c>
      <c r="J21">
        <v>2615349</v>
      </c>
      <c r="K21">
        <v>3982251</v>
      </c>
      <c r="L21">
        <v>5093079</v>
      </c>
      <c r="M21">
        <v>6239215</v>
      </c>
      <c r="N21">
        <v>7950657</v>
      </c>
      <c r="O21">
        <v>8622186</v>
      </c>
      <c r="P21">
        <v>9835935</v>
      </c>
      <c r="Q21">
        <v>10500097</v>
      </c>
      <c r="R21">
        <v>11897799</v>
      </c>
      <c r="S21">
        <v>12652948</v>
      </c>
      <c r="T21">
        <v>13703693</v>
      </c>
      <c r="U21">
        <v>13180550</v>
      </c>
      <c r="V21">
        <v>13197294</v>
      </c>
      <c r="W21">
        <v>12448450</v>
      </c>
      <c r="X21">
        <v>10658156</v>
      </c>
      <c r="Y21">
        <v>10913437</v>
      </c>
    </row>
    <row r="22" spans="1:25" ht="12.75">
      <c r="A22" t="s">
        <v>54</v>
      </c>
      <c r="C22">
        <v>0</v>
      </c>
      <c r="D22">
        <v>0</v>
      </c>
      <c r="E22">
        <v>0</v>
      </c>
      <c r="F22">
        <v>0</v>
      </c>
      <c r="G22">
        <v>12272485</v>
      </c>
      <c r="H22">
        <v>12133493</v>
      </c>
      <c r="I22">
        <v>12036814</v>
      </c>
      <c r="J22">
        <v>12517474</v>
      </c>
      <c r="K22">
        <v>15573456</v>
      </c>
      <c r="L22">
        <v>15223818</v>
      </c>
      <c r="M22">
        <v>14589217</v>
      </c>
      <c r="N22">
        <v>16327405</v>
      </c>
      <c r="O22">
        <v>15614472</v>
      </c>
      <c r="P22">
        <v>14305927</v>
      </c>
      <c r="Q22">
        <v>12124999</v>
      </c>
      <c r="R22">
        <v>11982057</v>
      </c>
      <c r="S22">
        <v>12655863</v>
      </c>
      <c r="T22">
        <v>13703786</v>
      </c>
      <c r="U22">
        <v>13180550</v>
      </c>
      <c r="V22">
        <v>13197294</v>
      </c>
      <c r="W22">
        <v>12448450</v>
      </c>
      <c r="X22">
        <v>10658156</v>
      </c>
      <c r="Y22">
        <v>10913437</v>
      </c>
    </row>
    <row r="24" spans="1:25" ht="12.75">
      <c r="A24" t="s">
        <v>179</v>
      </c>
      <c r="G24" s="5">
        <f>G22/G12</f>
        <v>12272485</v>
      </c>
      <c r="H24" s="5">
        <f aca="true" t="shared" si="2" ref="H24:Y24">H22/H12</f>
        <v>11446691.509433962</v>
      </c>
      <c r="I24" s="5">
        <f t="shared" si="2"/>
        <v>11145198.148148147</v>
      </c>
      <c r="J24" s="5">
        <f t="shared" si="2"/>
        <v>11379521.818181816</v>
      </c>
      <c r="K24" s="5">
        <f t="shared" si="2"/>
        <v>13197844.067796608</v>
      </c>
      <c r="L24" s="5">
        <f t="shared" si="2"/>
        <v>11533195.454545453</v>
      </c>
      <c r="M24" s="5">
        <f t="shared" si="2"/>
        <v>10420869.285714285</v>
      </c>
      <c r="N24" s="5">
        <f t="shared" si="2"/>
        <v>11746334.532374099</v>
      </c>
      <c r="O24" s="5">
        <f t="shared" si="2"/>
        <v>11153194.285714285</v>
      </c>
      <c r="P24" s="5">
        <f t="shared" si="2"/>
        <v>9666166.891891891</v>
      </c>
      <c r="Q24" s="5">
        <f t="shared" si="2"/>
        <v>8083332.666666665</v>
      </c>
      <c r="R24" s="5">
        <f t="shared" si="2"/>
        <v>7935137.086092714</v>
      </c>
      <c r="S24">
        <f t="shared" si="2"/>
        <v>8381366.225165562</v>
      </c>
      <c r="T24">
        <f t="shared" si="2"/>
        <v>9075354.966887416</v>
      </c>
      <c r="U24">
        <f t="shared" si="2"/>
        <v>8671414.473684208</v>
      </c>
      <c r="V24">
        <f t="shared" si="2"/>
        <v>8459803.846153844</v>
      </c>
      <c r="W24">
        <f t="shared" si="2"/>
        <v>7829213.836477986</v>
      </c>
      <c r="X24">
        <f t="shared" si="2"/>
        <v>6661347.499999999</v>
      </c>
      <c r="Y24">
        <f t="shared" si="2"/>
        <v>6736689.506172838</v>
      </c>
    </row>
    <row r="25" spans="1:25" ht="12.75">
      <c r="A25" t="s">
        <v>174</v>
      </c>
      <c r="G25">
        <f>G24/G15</f>
        <v>0.6697522735812159</v>
      </c>
      <c r="H25">
        <f aca="true" t="shared" si="3" ref="H25:Y25">H24/H15</f>
        <v>0.6295596945007143</v>
      </c>
      <c r="I25">
        <f t="shared" si="3"/>
        <v>0.7078823761221926</v>
      </c>
      <c r="J25">
        <f t="shared" si="3"/>
        <v>0.671032204600409</v>
      </c>
      <c r="K25">
        <f t="shared" si="3"/>
        <v>0.8074418698487567</v>
      </c>
      <c r="L25">
        <f t="shared" si="3"/>
        <v>0.7806013103257227</v>
      </c>
      <c r="M25">
        <f t="shared" si="3"/>
        <v>0.6409356341934553</v>
      </c>
      <c r="N25">
        <f t="shared" si="3"/>
        <v>0.7020145697865203</v>
      </c>
      <c r="O25">
        <f t="shared" si="3"/>
        <v>0.6968434214993466</v>
      </c>
      <c r="P25">
        <f t="shared" si="3"/>
        <v>0.621149172438205</v>
      </c>
      <c r="Q25">
        <f t="shared" si="3"/>
        <v>0.5701048198334615</v>
      </c>
      <c r="R25">
        <f t="shared" si="3"/>
        <v>0.5099129664670521</v>
      </c>
      <c r="S25">
        <f t="shared" si="3"/>
        <v>0.5368422720614894</v>
      </c>
      <c r="T25">
        <f t="shared" si="3"/>
        <v>0.6209991575877118</v>
      </c>
      <c r="U25">
        <f t="shared" si="3"/>
        <v>0.6076267827685119</v>
      </c>
      <c r="V25">
        <f t="shared" si="3"/>
        <v>0.5833150276297667</v>
      </c>
      <c r="W25">
        <f t="shared" si="3"/>
        <v>0.5544007293953936</v>
      </c>
      <c r="X25">
        <f t="shared" si="3"/>
        <v>0.49573349846502535</v>
      </c>
      <c r="Y25">
        <f t="shared" si="3"/>
        <v>0.4702556080354966</v>
      </c>
    </row>
    <row r="26" spans="10:25" ht="12.75">
      <c r="J26">
        <f>(G25+H25+I25+J25)/4</f>
        <v>0.6695566372011329</v>
      </c>
      <c r="Y26">
        <f>(V25+W25+X25+Y25)/4</f>
        <v>0.5259262158814205</v>
      </c>
    </row>
    <row r="28" spans="1:24" ht="12.75">
      <c r="A28" t="s">
        <v>63</v>
      </c>
      <c r="H28">
        <v>439704</v>
      </c>
      <c r="I28">
        <v>-199843</v>
      </c>
      <c r="J28">
        <v>-39038</v>
      </c>
      <c r="K28">
        <v>-414567</v>
      </c>
      <c r="L28">
        <v>-2665324</v>
      </c>
      <c r="M28">
        <v>-2184949</v>
      </c>
      <c r="N28">
        <v>-6356697</v>
      </c>
      <c r="O28">
        <v>-2197146</v>
      </c>
      <c r="P28">
        <v>-6675632</v>
      </c>
      <c r="Q28">
        <v>-14203487</v>
      </c>
      <c r="R28">
        <v>-5348234</v>
      </c>
      <c r="S28">
        <v>-1779206</v>
      </c>
      <c r="T28">
        <v>-869541</v>
      </c>
      <c r="U28">
        <v>0</v>
      </c>
      <c r="V28">
        <v>0</v>
      </c>
      <c r="W28">
        <v>0</v>
      </c>
      <c r="X28">
        <v>0</v>
      </c>
    </row>
    <row r="29" spans="1:24" ht="12.75">
      <c r="A29" t="s">
        <v>55</v>
      </c>
      <c r="B29">
        <v>54006115</v>
      </c>
      <c r="C29">
        <v>50965795</v>
      </c>
      <c r="D29">
        <v>50937637</v>
      </c>
      <c r="E29">
        <v>50633668</v>
      </c>
      <c r="F29">
        <v>50563571</v>
      </c>
      <c r="G29">
        <v>50789926</v>
      </c>
      <c r="H29">
        <v>49246358</v>
      </c>
      <c r="I29">
        <v>48781286</v>
      </c>
      <c r="J29">
        <v>48586396</v>
      </c>
      <c r="K29">
        <v>47660773</v>
      </c>
      <c r="L29">
        <v>43285010</v>
      </c>
      <c r="M29">
        <v>40132623</v>
      </c>
      <c r="N29">
        <v>31915586</v>
      </c>
      <c r="O29">
        <v>29030193</v>
      </c>
      <c r="P29">
        <v>20077779</v>
      </c>
      <c r="Q29">
        <v>5417324</v>
      </c>
      <c r="R29">
        <v>343646</v>
      </c>
      <c r="S29">
        <v>36568</v>
      </c>
      <c r="T29">
        <v>0</v>
      </c>
      <c r="U29">
        <v>0</v>
      </c>
      <c r="V29">
        <v>0</v>
      </c>
      <c r="W29">
        <v>0</v>
      </c>
      <c r="X29">
        <v>0</v>
      </c>
    </row>
    <row r="31" spans="1:25" ht="12.75">
      <c r="A31" t="s">
        <v>72</v>
      </c>
      <c r="E31">
        <v>370713.3059694211</v>
      </c>
      <c r="F31">
        <v>823576.6705127975</v>
      </c>
      <c r="G31">
        <v>1194289.9764822188</v>
      </c>
      <c r="H31">
        <v>1647153.341025595</v>
      </c>
      <c r="I31">
        <v>2033508.3368324046</v>
      </c>
      <c r="J31">
        <v>2072967.27907753</v>
      </c>
      <c r="K31">
        <v>2150748.3795678434</v>
      </c>
      <c r="L31">
        <v>3039862.753746889</v>
      </c>
      <c r="M31">
        <v>4214585.229094555</v>
      </c>
      <c r="N31">
        <v>5906839.941341423</v>
      </c>
      <c r="O31">
        <v>6412848.88174689</v>
      </c>
      <c r="P31">
        <v>6961952.44397301</v>
      </c>
      <c r="Q31">
        <v>8662908.144500254</v>
      </c>
      <c r="R31">
        <v>9581086.158401629</v>
      </c>
      <c r="S31">
        <v>10380881.882856045</v>
      </c>
      <c r="T31">
        <v>10396681.621207405</v>
      </c>
      <c r="U31">
        <v>10531230.590680836</v>
      </c>
      <c r="V31">
        <v>11372441.149673559</v>
      </c>
      <c r="W31">
        <v>11341440.99628581</v>
      </c>
      <c r="X31">
        <v>11345153.702416738</v>
      </c>
      <c r="Y31">
        <v>11348637.3909087</v>
      </c>
    </row>
    <row r="32" spans="1:25" ht="12.75">
      <c r="A32" t="s">
        <v>58</v>
      </c>
      <c r="G32">
        <v>9274547</v>
      </c>
      <c r="H32">
        <v>9638564</v>
      </c>
      <c r="I32">
        <v>10386902</v>
      </c>
      <c r="J32">
        <v>12621795</v>
      </c>
      <c r="K32">
        <v>15645584</v>
      </c>
      <c r="L32">
        <v>13302013</v>
      </c>
      <c r="M32">
        <v>13527558</v>
      </c>
      <c r="N32">
        <v>12521647</v>
      </c>
      <c r="O32">
        <v>11288567</v>
      </c>
      <c r="P32">
        <v>10310008</v>
      </c>
      <c r="Q32">
        <v>8429801</v>
      </c>
      <c r="R32">
        <v>7799279</v>
      </c>
      <c r="S32">
        <v>8709302</v>
      </c>
      <c r="T32">
        <v>8501211</v>
      </c>
      <c r="U32">
        <v>7422354</v>
      </c>
      <c r="V32">
        <v>7758785</v>
      </c>
      <c r="W32">
        <v>7243332</v>
      </c>
      <c r="X32">
        <v>6913371</v>
      </c>
      <c r="Y32">
        <v>7240054</v>
      </c>
    </row>
    <row r="33" spans="1:25" ht="12.75">
      <c r="A33" t="s">
        <v>176</v>
      </c>
      <c r="G33" s="37">
        <v>1</v>
      </c>
      <c r="H33" s="8">
        <f>G33*1.004</f>
        <v>1.004</v>
      </c>
      <c r="I33" s="8">
        <f aca="true" t="shared" si="4" ref="I33:Y33">H33*1.004</f>
        <v>1.008016</v>
      </c>
      <c r="J33" s="8">
        <f t="shared" si="4"/>
        <v>1.012048064</v>
      </c>
      <c r="K33" s="8">
        <f t="shared" si="4"/>
        <v>1.016096256256</v>
      </c>
      <c r="L33" s="8">
        <f t="shared" si="4"/>
        <v>1.020160641281024</v>
      </c>
      <c r="M33" s="8">
        <f t="shared" si="4"/>
        <v>1.024241283846148</v>
      </c>
      <c r="N33" s="8">
        <f t="shared" si="4"/>
        <v>1.0283382489815327</v>
      </c>
      <c r="O33" s="8">
        <f t="shared" si="4"/>
        <v>1.0324516019774588</v>
      </c>
      <c r="P33" s="8">
        <f t="shared" si="4"/>
        <v>1.0365814083853686</v>
      </c>
      <c r="Q33" s="8">
        <f t="shared" si="4"/>
        <v>1.04072773401891</v>
      </c>
      <c r="R33" s="8">
        <f t="shared" si="4"/>
        <v>1.0448906449549857</v>
      </c>
      <c r="S33" s="8">
        <f t="shared" si="4"/>
        <v>1.0490702075348057</v>
      </c>
      <c r="T33" s="8">
        <f t="shared" si="4"/>
        <v>1.053266488364945</v>
      </c>
      <c r="U33" s="8">
        <f t="shared" si="4"/>
        <v>1.0574795543184048</v>
      </c>
      <c r="V33" s="8">
        <f t="shared" si="4"/>
        <v>1.0617094725356784</v>
      </c>
      <c r="W33" s="8">
        <f t="shared" si="4"/>
        <v>1.0659563104258212</v>
      </c>
      <c r="X33" s="8">
        <f t="shared" si="4"/>
        <v>1.0702201356675245</v>
      </c>
      <c r="Y33" s="8">
        <f t="shared" si="4"/>
        <v>1.0745010162101947</v>
      </c>
    </row>
    <row r="34" spans="1:7" ht="12.75">
      <c r="A34" t="s">
        <v>175</v>
      </c>
      <c r="G34">
        <v>9274547</v>
      </c>
    </row>
    <row r="35" spans="1:25" ht="12.75">
      <c r="A35" t="s">
        <v>57</v>
      </c>
      <c r="B35">
        <v>6565250</v>
      </c>
      <c r="C35">
        <v>6565250</v>
      </c>
      <c r="D35">
        <v>6565250</v>
      </c>
      <c r="E35">
        <v>6460250</v>
      </c>
      <c r="F35">
        <v>6460250</v>
      </c>
      <c r="G35">
        <v>6460250</v>
      </c>
      <c r="H35">
        <v>6460250</v>
      </c>
      <c r="I35">
        <v>6460250</v>
      </c>
      <c r="J35">
        <v>6355250</v>
      </c>
      <c r="K35">
        <v>6355250</v>
      </c>
      <c r="L35">
        <v>6355250</v>
      </c>
      <c r="M35">
        <v>7480450</v>
      </c>
      <c r="N35">
        <v>7254950</v>
      </c>
      <c r="O35">
        <v>7108950</v>
      </c>
      <c r="P35">
        <v>7145222</v>
      </c>
      <c r="Q35">
        <v>6927472</v>
      </c>
      <c r="R35">
        <v>6618847</v>
      </c>
      <c r="S35">
        <v>6618847</v>
      </c>
      <c r="T35">
        <v>6408847</v>
      </c>
      <c r="U35">
        <v>6408847</v>
      </c>
      <c r="V35">
        <v>6408847</v>
      </c>
      <c r="W35">
        <v>6406047</v>
      </c>
      <c r="X35">
        <v>5825560</v>
      </c>
      <c r="Y35">
        <v>5825560</v>
      </c>
    </row>
    <row r="36" spans="1:25" ht="12.75">
      <c r="A36" t="s">
        <v>59</v>
      </c>
      <c r="G36">
        <v>1606680</v>
      </c>
      <c r="H36">
        <v>1269536</v>
      </c>
      <c r="I36">
        <v>1480609</v>
      </c>
      <c r="J36">
        <v>1186165</v>
      </c>
      <c r="K36">
        <v>1170939</v>
      </c>
      <c r="L36">
        <v>1190588</v>
      </c>
      <c r="M36">
        <v>1324456</v>
      </c>
      <c r="N36">
        <v>1304079</v>
      </c>
      <c r="O36">
        <v>1282780</v>
      </c>
      <c r="P36">
        <v>1209061</v>
      </c>
      <c r="Q36">
        <v>1163205</v>
      </c>
      <c r="R36">
        <v>1222787</v>
      </c>
      <c r="S36">
        <v>1226931</v>
      </c>
      <c r="T36">
        <v>1107307</v>
      </c>
      <c r="U36">
        <v>981685</v>
      </c>
      <c r="V36">
        <v>907295</v>
      </c>
      <c r="W36">
        <v>864933</v>
      </c>
      <c r="X36">
        <v>784613</v>
      </c>
      <c r="Y36">
        <v>802401</v>
      </c>
    </row>
    <row r="37" spans="1:25" ht="12.75">
      <c r="A37" t="s">
        <v>141</v>
      </c>
      <c r="G37">
        <v>421095.72762184666</v>
      </c>
      <c r="H37">
        <v>411371.88788198936</v>
      </c>
      <c r="I37">
        <v>404277.9305882873</v>
      </c>
      <c r="J37">
        <v>405132.04364569945</v>
      </c>
      <c r="K37">
        <v>508106.8172573175</v>
      </c>
      <c r="L37">
        <v>499782.51248960773</v>
      </c>
      <c r="M37">
        <v>537301.545479278</v>
      </c>
      <c r="N37">
        <v>583878.2598323146</v>
      </c>
      <c r="O37">
        <v>551803.4383052095</v>
      </c>
      <c r="P37">
        <v>562282.8780121153</v>
      </c>
      <c r="Q37">
        <v>525034.605019068</v>
      </c>
      <c r="R37">
        <v>499750.13582910714</v>
      </c>
      <c r="S37">
        <v>505669.38263030886</v>
      </c>
      <c r="T37">
        <v>531224.2502838186</v>
      </c>
      <c r="U37">
        <v>508052.35369456257</v>
      </c>
      <c r="V37">
        <v>507207.19685389596</v>
      </c>
      <c r="W37">
        <v>479776.82055765163</v>
      </c>
      <c r="X37">
        <v>379118.7744243336</v>
      </c>
      <c r="Y37">
        <v>388713.95933265635</v>
      </c>
    </row>
    <row r="39" spans="1:22" ht="12.75">
      <c r="A39" t="s">
        <v>180</v>
      </c>
      <c r="H39">
        <v>729031</v>
      </c>
      <c r="I39">
        <v>706955</v>
      </c>
      <c r="S39">
        <v>151209</v>
      </c>
      <c r="T39">
        <v>136186</v>
      </c>
      <c r="U39">
        <v>124707</v>
      </c>
      <c r="V39">
        <v>105164</v>
      </c>
    </row>
    <row r="40" ht="12.75">
      <c r="A40" t="s">
        <v>182</v>
      </c>
    </row>
    <row r="41" spans="1:22" ht="12.75">
      <c r="A41" t="s">
        <v>181</v>
      </c>
      <c r="H41">
        <v>392140</v>
      </c>
      <c r="I41">
        <v>399656</v>
      </c>
      <c r="S41">
        <v>1121105</v>
      </c>
      <c r="T41">
        <v>1041953</v>
      </c>
      <c r="U41">
        <v>990738</v>
      </c>
      <c r="V41">
        <v>938600</v>
      </c>
    </row>
    <row r="42" ht="12.75">
      <c r="A42" t="s">
        <v>182</v>
      </c>
    </row>
    <row r="43" spans="1:25" ht="12.75">
      <c r="A43" t="s">
        <v>183</v>
      </c>
      <c r="H43" s="5">
        <f>H39+H41</f>
        <v>1121171</v>
      </c>
      <c r="I43" s="5">
        <f aca="true" t="shared" si="5" ref="I43:Y43">I39+I41</f>
        <v>1106611</v>
      </c>
      <c r="J43" s="5">
        <f t="shared" si="5"/>
        <v>0</v>
      </c>
      <c r="K43" s="5">
        <f t="shared" si="5"/>
        <v>0</v>
      </c>
      <c r="L43" s="5">
        <f t="shared" si="5"/>
        <v>0</v>
      </c>
      <c r="M43" s="5">
        <f t="shared" si="5"/>
        <v>0</v>
      </c>
      <c r="N43" s="5">
        <f t="shared" si="5"/>
        <v>0</v>
      </c>
      <c r="O43" s="5">
        <f t="shared" si="5"/>
        <v>0</v>
      </c>
      <c r="P43" s="5">
        <f t="shared" si="5"/>
        <v>0</v>
      </c>
      <c r="Q43" s="5">
        <f t="shared" si="5"/>
        <v>0</v>
      </c>
      <c r="R43" s="5">
        <f t="shared" si="5"/>
        <v>0</v>
      </c>
      <c r="S43" s="5">
        <f>S39+S41</f>
        <v>1272314</v>
      </c>
      <c r="T43" s="5">
        <f>T39+T41</f>
        <v>1178139</v>
      </c>
      <c r="U43" s="5">
        <f>U39+U41</f>
        <v>1115445</v>
      </c>
      <c r="V43" s="5">
        <f>V39+V41</f>
        <v>1043764</v>
      </c>
      <c r="W43" s="5">
        <f t="shared" si="5"/>
        <v>0</v>
      </c>
      <c r="X43" s="5">
        <f t="shared" si="5"/>
        <v>0</v>
      </c>
      <c r="Y43" s="5">
        <f t="shared" si="5"/>
        <v>0</v>
      </c>
    </row>
    <row r="45" spans="1:25" ht="12.75">
      <c r="A45" t="s">
        <v>56</v>
      </c>
      <c r="B45">
        <v>465890</v>
      </c>
      <c r="C45">
        <v>2313949</v>
      </c>
      <c r="D45">
        <v>3091491</v>
      </c>
      <c r="E45">
        <v>3072886</v>
      </c>
      <c r="F45">
        <v>3960243</v>
      </c>
      <c r="G45">
        <v>5509363</v>
      </c>
      <c r="H45">
        <v>7808831</v>
      </c>
      <c r="I45">
        <v>8873455</v>
      </c>
      <c r="J45">
        <v>10511645</v>
      </c>
      <c r="K45">
        <v>10913373</v>
      </c>
      <c r="L45">
        <v>14888588</v>
      </c>
      <c r="M45">
        <v>20091868</v>
      </c>
      <c r="N45">
        <v>28454581</v>
      </c>
      <c r="O45">
        <v>30915230</v>
      </c>
      <c r="P45">
        <v>33374626</v>
      </c>
      <c r="Q45">
        <v>40982223</v>
      </c>
      <c r="R45">
        <v>45935543</v>
      </c>
      <c r="S45">
        <v>48563287</v>
      </c>
      <c r="T45">
        <v>48700000</v>
      </c>
      <c r="U45">
        <v>49013347</v>
      </c>
      <c r="V45">
        <v>49176220</v>
      </c>
      <c r="W45">
        <v>48998433</v>
      </c>
      <c r="X45">
        <v>48765711</v>
      </c>
      <c r="Y45">
        <v>48693434</v>
      </c>
    </row>
    <row r="46" spans="1:25" ht="12.75">
      <c r="A46" t="s">
        <v>65</v>
      </c>
      <c r="B46">
        <v>61037255</v>
      </c>
      <c r="C46">
        <v>59844994</v>
      </c>
      <c r="D46">
        <v>60594378</v>
      </c>
      <c r="E46">
        <v>60166804</v>
      </c>
      <c r="F46">
        <v>60984064</v>
      </c>
      <c r="G46">
        <v>62759539</v>
      </c>
      <c r="H46">
        <v>63515439</v>
      </c>
      <c r="I46">
        <v>64114991</v>
      </c>
      <c r="J46">
        <v>65453291</v>
      </c>
      <c r="K46">
        <v>64929396</v>
      </c>
      <c r="L46">
        <v>64528848</v>
      </c>
      <c r="M46">
        <v>67704941</v>
      </c>
      <c r="N46">
        <v>67625117</v>
      </c>
      <c r="O46">
        <v>67054373</v>
      </c>
      <c r="P46">
        <v>60597627</v>
      </c>
      <c r="Q46">
        <v>53327019</v>
      </c>
      <c r="R46">
        <v>52898036</v>
      </c>
      <c r="S46">
        <v>55218702</v>
      </c>
      <c r="T46">
        <v>55108847</v>
      </c>
      <c r="U46">
        <v>55422194</v>
      </c>
      <c r="V46">
        <v>55585067</v>
      </c>
      <c r="W46">
        <v>55404480</v>
      </c>
      <c r="X46">
        <v>54591271</v>
      </c>
      <c r="Y46">
        <v>54518994</v>
      </c>
    </row>
    <row r="47" spans="1:25" ht="12.75">
      <c r="A47" t="s">
        <v>189</v>
      </c>
      <c r="G47" s="37">
        <f>G45/G46</f>
        <v>0.08778526878599284</v>
      </c>
      <c r="H47" s="37">
        <f aca="true" t="shared" si="6" ref="H47:Y47">H45/H46</f>
        <v>0.12294382472897653</v>
      </c>
      <c r="I47" s="37">
        <f t="shared" si="6"/>
        <v>0.1383990680120348</v>
      </c>
      <c r="J47" s="37">
        <f t="shared" si="6"/>
        <v>0.16059765428754377</v>
      </c>
      <c r="K47" s="37">
        <f t="shared" si="6"/>
        <v>0.16808061790687226</v>
      </c>
      <c r="L47" s="37">
        <f t="shared" si="6"/>
        <v>0.23072762743261743</v>
      </c>
      <c r="M47" s="37">
        <f t="shared" si="6"/>
        <v>0.2967563032068812</v>
      </c>
      <c r="N47" s="37">
        <f t="shared" si="6"/>
        <v>0.42076941619191577</v>
      </c>
      <c r="O47" s="37">
        <f t="shared" si="6"/>
        <v>0.46104718628865565</v>
      </c>
      <c r="P47" s="37">
        <f t="shared" si="6"/>
        <v>0.5507579694498598</v>
      </c>
      <c r="Q47" s="37">
        <f t="shared" si="6"/>
        <v>0.7685076677546893</v>
      </c>
      <c r="R47" s="37">
        <f t="shared" si="6"/>
        <v>0.8683789885885367</v>
      </c>
      <c r="S47" s="37">
        <f t="shared" si="6"/>
        <v>0.8794717231853802</v>
      </c>
      <c r="T47" s="37">
        <f t="shared" si="6"/>
        <v>0.8837056598190124</v>
      </c>
      <c r="U47" s="37">
        <f t="shared" si="6"/>
        <v>0.8843631668569454</v>
      </c>
      <c r="V47" s="37">
        <f t="shared" si="6"/>
        <v>0.8847020009888628</v>
      </c>
      <c r="W47" s="37">
        <f t="shared" si="6"/>
        <v>0.8843767327118673</v>
      </c>
      <c r="X47" s="37">
        <f t="shared" si="6"/>
        <v>0.8932877016180847</v>
      </c>
      <c r="Y47" s="37">
        <f t="shared" si="6"/>
        <v>0.8931462308347069</v>
      </c>
    </row>
    <row r="49" spans="1:27" ht="12.75">
      <c r="A49" t="s">
        <v>156</v>
      </c>
      <c r="G49" s="6">
        <f aca="true" t="shared" si="7" ref="G49:Y49">G31+G37+G32+G36+G22</f>
        <v>24769097.704104066</v>
      </c>
      <c r="H49" s="6">
        <f t="shared" si="7"/>
        <v>25100118.228907585</v>
      </c>
      <c r="I49" s="6">
        <f t="shared" si="7"/>
        <v>26342111.267420694</v>
      </c>
      <c r="J49" s="6">
        <f t="shared" si="7"/>
        <v>28803533.32272323</v>
      </c>
      <c r="K49" s="6">
        <f t="shared" si="7"/>
        <v>35048834.19682516</v>
      </c>
      <c r="L49" s="6">
        <f t="shared" si="7"/>
        <v>33256064.266236495</v>
      </c>
      <c r="M49" s="6">
        <f t="shared" si="7"/>
        <v>34193117.77457383</v>
      </c>
      <c r="N49" s="6">
        <f t="shared" si="7"/>
        <v>36643849.20117374</v>
      </c>
      <c r="O49" s="6">
        <f t="shared" si="7"/>
        <v>35150471.3200521</v>
      </c>
      <c r="P49" s="6">
        <f t="shared" si="7"/>
        <v>33349231.321985126</v>
      </c>
      <c r="Q49" s="6">
        <f t="shared" si="7"/>
        <v>30905947.749519322</v>
      </c>
      <c r="R49" s="6">
        <f t="shared" si="7"/>
        <v>31084959.294230737</v>
      </c>
      <c r="S49" s="6">
        <f t="shared" si="7"/>
        <v>33478647.265486352</v>
      </c>
      <c r="T49" s="6">
        <f t="shared" si="7"/>
        <v>34240209.87149122</v>
      </c>
      <c r="U49" s="6">
        <f t="shared" si="7"/>
        <v>32623871.944375396</v>
      </c>
      <c r="V49" s="6">
        <f t="shared" si="7"/>
        <v>33743022.34652746</v>
      </c>
      <c r="W49" s="6">
        <f t="shared" si="7"/>
        <v>32377932.81684346</v>
      </c>
      <c r="X49" s="6">
        <f t="shared" si="7"/>
        <v>30080412.47684107</v>
      </c>
      <c r="Y49" s="6">
        <f t="shared" si="7"/>
        <v>30693243.350241356</v>
      </c>
      <c r="AA49" s="37">
        <f>154/124</f>
        <v>1.2419354838709677</v>
      </c>
    </row>
    <row r="50" spans="1:25" ht="12.75">
      <c r="A50" t="s">
        <v>157</v>
      </c>
      <c r="G50" s="6">
        <f aca="true" t="shared" si="8" ref="G50:Y50">G49-G36-G37</f>
        <v>22741321.97648222</v>
      </c>
      <c r="H50" s="6">
        <f t="shared" si="8"/>
        <v>23419210.341025595</v>
      </c>
      <c r="I50" s="6">
        <f t="shared" si="8"/>
        <v>24457224.336832408</v>
      </c>
      <c r="J50" s="6">
        <f t="shared" si="8"/>
        <v>27212236.27907753</v>
      </c>
      <c r="K50" s="6">
        <f t="shared" si="8"/>
        <v>33369788.379567843</v>
      </c>
      <c r="L50" s="6">
        <f t="shared" si="8"/>
        <v>31565693.753746886</v>
      </c>
      <c r="M50" s="6">
        <f t="shared" si="8"/>
        <v>32331360.229094554</v>
      </c>
      <c r="N50" s="6">
        <f t="shared" si="8"/>
        <v>34755891.94134142</v>
      </c>
      <c r="O50" s="6">
        <f t="shared" si="8"/>
        <v>33315887.881746892</v>
      </c>
      <c r="P50" s="6">
        <f t="shared" si="8"/>
        <v>31577887.44397301</v>
      </c>
      <c r="Q50" s="6">
        <f t="shared" si="8"/>
        <v>29217708.144500256</v>
      </c>
      <c r="R50" s="6">
        <f t="shared" si="8"/>
        <v>29362422.15840163</v>
      </c>
      <c r="S50" s="6">
        <f t="shared" si="8"/>
        <v>31746046.882856045</v>
      </c>
      <c r="T50" s="6">
        <f t="shared" si="8"/>
        <v>32601678.621207405</v>
      </c>
      <c r="U50" s="6">
        <f t="shared" si="8"/>
        <v>31134134.590680834</v>
      </c>
      <c r="V50" s="6">
        <f t="shared" si="8"/>
        <v>32328520.149673562</v>
      </c>
      <c r="W50" s="6">
        <f t="shared" si="8"/>
        <v>31033222.99628581</v>
      </c>
      <c r="X50" s="6">
        <f t="shared" si="8"/>
        <v>28916680.702416737</v>
      </c>
      <c r="Y50" s="6">
        <f t="shared" si="8"/>
        <v>29502128.3909087</v>
      </c>
    </row>
    <row r="51" spans="7:25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>
      <c r="A52" t="s">
        <v>177</v>
      </c>
      <c r="G52" s="6">
        <f aca="true" t="shared" si="9" ref="G52:Y52">((G50-G32)/G12)+G32/G33</f>
        <v>22741321.97648222</v>
      </c>
      <c r="H52" s="6">
        <f t="shared" si="9"/>
        <v>22600773.102298066</v>
      </c>
      <c r="I52" s="6">
        <f t="shared" si="9"/>
        <v>23332378.947288588</v>
      </c>
      <c r="J52" s="6">
        <f t="shared" si="9"/>
        <v>25735574.64900303</v>
      </c>
      <c r="K52" s="6">
        <f t="shared" si="9"/>
        <v>30418250.248459525</v>
      </c>
      <c r="L52" s="6">
        <f t="shared" si="9"/>
        <v>26875257.446419623</v>
      </c>
      <c r="M52" s="6">
        <f t="shared" si="9"/>
        <v>26638681.124095812</v>
      </c>
      <c r="N52" s="6">
        <f t="shared" si="9"/>
        <v>28172443.60279847</v>
      </c>
      <c r="O52" s="6">
        <f t="shared" si="9"/>
        <v>26667549.948798385</v>
      </c>
      <c r="P52" s="6">
        <f t="shared" si="9"/>
        <v>24316352.15059331</v>
      </c>
      <c r="Q52" s="6">
        <f t="shared" si="9"/>
        <v>21958514.782162614</v>
      </c>
      <c r="R52" s="6">
        <f t="shared" si="9"/>
        <v>21744433.236722857</v>
      </c>
      <c r="S52" s="6">
        <f t="shared" si="9"/>
        <v>23558047.26483436</v>
      </c>
      <c r="T52" s="6">
        <f t="shared" si="9"/>
        <v>24031856.727188412</v>
      </c>
      <c r="U52" s="6">
        <f t="shared" si="9"/>
        <v>22618765.823302723</v>
      </c>
      <c r="V52" s="6">
        <f t="shared" si="9"/>
        <v>23057653.315781094</v>
      </c>
      <c r="W52" s="6">
        <f t="shared" si="9"/>
        <v>21757344.635643672</v>
      </c>
      <c r="X52" s="6">
        <f t="shared" si="9"/>
        <v>20211833.961423717</v>
      </c>
      <c r="Y52" s="6">
        <f t="shared" si="9"/>
        <v>20480082.79499893</v>
      </c>
    </row>
    <row r="54" spans="1:25" ht="12.75">
      <c r="A54" t="s">
        <v>158</v>
      </c>
      <c r="G54" s="18">
        <f aca="true" t="shared" si="10" ref="G54:Y54">G50/G16</f>
        <v>1.383484278417287</v>
      </c>
      <c r="H54" s="18">
        <f t="shared" si="10"/>
        <v>1.433881760390229</v>
      </c>
      <c r="I54" s="18">
        <f t="shared" si="10"/>
        <v>1.7274481995853523</v>
      </c>
      <c r="J54" s="18">
        <f t="shared" si="10"/>
        <v>1.7772232526980212</v>
      </c>
      <c r="K54" s="18">
        <f t="shared" si="10"/>
        <v>2.263065495747432</v>
      </c>
      <c r="L54" s="18">
        <f t="shared" si="10"/>
        <v>2.369861409522219</v>
      </c>
      <c r="M54" s="18">
        <f t="shared" si="10"/>
        <v>2.235536019256081</v>
      </c>
      <c r="N54" s="18">
        <f t="shared" si="10"/>
        <v>2.3267935486011417</v>
      </c>
      <c r="O54" s="18">
        <f t="shared" si="10"/>
        <v>2.3284043695613716</v>
      </c>
      <c r="P54" s="18">
        <f t="shared" si="10"/>
        <v>2.3004513931058135</v>
      </c>
      <c r="Q54" s="18">
        <f t="shared" si="10"/>
        <v>2.3683395823838183</v>
      </c>
      <c r="R54" s="18">
        <f t="shared" si="10"/>
        <v>2.156687932425942</v>
      </c>
      <c r="S54" s="18">
        <f t="shared" si="10"/>
        <v>2.3103233184556218</v>
      </c>
      <c r="T54" s="18">
        <f t="shared" si="10"/>
        <v>2.524408976218224</v>
      </c>
      <c r="U54" s="18">
        <f t="shared" si="10"/>
        <v>2.466908921552842</v>
      </c>
      <c r="V54" s="18">
        <f t="shared" si="10"/>
        <v>2.519600507991631</v>
      </c>
      <c r="W54" s="18">
        <f t="shared" si="10"/>
        <v>2.4848215911842035</v>
      </c>
      <c r="X54" s="18">
        <f t="shared" si="10"/>
        <v>2.409035841583109</v>
      </c>
      <c r="Y54" s="18">
        <f t="shared" si="10"/>
        <v>2.305781928717555</v>
      </c>
    </row>
    <row r="55" spans="1:25" ht="12.75">
      <c r="A55" t="s">
        <v>160</v>
      </c>
      <c r="G55" s="18">
        <f>(G54/G12)</f>
        <v>1.383484278417287</v>
      </c>
      <c r="H55" s="18">
        <f aca="true" t="shared" si="11" ref="H55:Y55">H54/H12</f>
        <v>1.3527186418775745</v>
      </c>
      <c r="I55" s="18">
        <f t="shared" si="11"/>
        <v>1.599489073690141</v>
      </c>
      <c r="J55" s="18">
        <f t="shared" si="11"/>
        <v>1.6156575024527464</v>
      </c>
      <c r="K55" s="18">
        <f t="shared" si="11"/>
        <v>1.9178521150401964</v>
      </c>
      <c r="L55" s="18">
        <f t="shared" si="11"/>
        <v>1.7953495526683476</v>
      </c>
      <c r="M55" s="18">
        <f t="shared" si="11"/>
        <v>1.596811442325772</v>
      </c>
      <c r="N55" s="18">
        <f t="shared" si="11"/>
        <v>1.6739521932382313</v>
      </c>
      <c r="O55" s="18">
        <f t="shared" si="11"/>
        <v>1.6631459782581224</v>
      </c>
      <c r="P55" s="18">
        <f t="shared" si="11"/>
        <v>1.5543590493958197</v>
      </c>
      <c r="Q55" s="18">
        <f t="shared" si="11"/>
        <v>1.5788930549225453</v>
      </c>
      <c r="R55" s="18">
        <f t="shared" si="11"/>
        <v>1.4282701539244647</v>
      </c>
      <c r="S55" s="18">
        <f t="shared" si="11"/>
        <v>1.530015442685842</v>
      </c>
      <c r="T55" s="18">
        <f t="shared" si="11"/>
        <v>1.6717940239855784</v>
      </c>
      <c r="U55" s="18">
        <f t="shared" si="11"/>
        <v>1.6229663957584486</v>
      </c>
      <c r="V55" s="18">
        <f t="shared" si="11"/>
        <v>1.6151285307638659</v>
      </c>
      <c r="W55" s="18">
        <f t="shared" si="11"/>
        <v>1.5627808749586183</v>
      </c>
      <c r="X55" s="18">
        <f t="shared" si="11"/>
        <v>1.5056474009894427</v>
      </c>
      <c r="Y55" s="18">
        <f t="shared" si="11"/>
        <v>1.4233221782207126</v>
      </c>
    </row>
    <row r="56" spans="1:25" ht="12.75">
      <c r="A56" t="s">
        <v>178</v>
      </c>
      <c r="G56" s="18">
        <f aca="true" t="shared" si="12" ref="G56:Y56">G52/G15</f>
        <v>1.2410731891700368</v>
      </c>
      <c r="H56" s="18">
        <f t="shared" si="12"/>
        <v>1.243026056746272</v>
      </c>
      <c r="I56" s="18">
        <f t="shared" si="12"/>
        <v>1.4819458236850112</v>
      </c>
      <c r="J56" s="18">
        <f t="shared" si="12"/>
        <v>1.5175856832390298</v>
      </c>
      <c r="K56" s="18">
        <f t="shared" si="12"/>
        <v>1.8609834100156966</v>
      </c>
      <c r="L56" s="18">
        <f t="shared" si="12"/>
        <v>1.818998148492153</v>
      </c>
      <c r="M56" s="18">
        <f t="shared" si="12"/>
        <v>1.6384122583473404</v>
      </c>
      <c r="N56" s="18">
        <f t="shared" si="12"/>
        <v>1.6837138275897776</v>
      </c>
      <c r="O56" s="18">
        <f t="shared" si="12"/>
        <v>1.6661690160932465</v>
      </c>
      <c r="P56" s="18">
        <f t="shared" si="12"/>
        <v>1.5625720292214802</v>
      </c>
      <c r="Q56" s="18">
        <f t="shared" si="12"/>
        <v>1.548699729422067</v>
      </c>
      <c r="R56" s="18">
        <f t="shared" si="12"/>
        <v>1.397300177121674</v>
      </c>
      <c r="S56" s="18">
        <f t="shared" si="12"/>
        <v>1.5089372399707794</v>
      </c>
      <c r="T56" s="18">
        <f t="shared" si="12"/>
        <v>1.6444274452408563</v>
      </c>
      <c r="U56" s="18">
        <f t="shared" si="12"/>
        <v>1.584951099860011</v>
      </c>
      <c r="V56" s="18">
        <f t="shared" si="12"/>
        <v>1.5898566829167402</v>
      </c>
      <c r="W56" s="18">
        <f t="shared" si="12"/>
        <v>1.5406767509027564</v>
      </c>
      <c r="X56" s="18">
        <f t="shared" si="12"/>
        <v>1.5041525997691598</v>
      </c>
      <c r="Y56" s="18">
        <f t="shared" si="12"/>
        <v>1.4296152106394024</v>
      </c>
    </row>
    <row r="57" spans="1:27" ht="12.75">
      <c r="A57" t="s">
        <v>162</v>
      </c>
      <c r="G57" s="18">
        <f>G2/G15/G12</f>
        <v>12.372337984495354</v>
      </c>
      <c r="H57" s="18">
        <f aca="true" t="shared" si="13" ref="H57:Y57">H2/H15/H12</f>
        <v>11.879164811405468</v>
      </c>
      <c r="I57" s="18">
        <f t="shared" si="13"/>
        <v>11.831357949305062</v>
      </c>
      <c r="J57" s="18">
        <f t="shared" si="13"/>
        <v>12.409019088258995</v>
      </c>
      <c r="K57" s="18">
        <f t="shared" si="13"/>
        <v>13.173506154230594</v>
      </c>
      <c r="L57" s="18">
        <f t="shared" si="13"/>
        <v>12.204540769035699</v>
      </c>
      <c r="M57" s="18">
        <f t="shared" si="13"/>
        <v>11.221221444971738</v>
      </c>
      <c r="N57" s="18">
        <f t="shared" si="13"/>
        <v>12.271494266241195</v>
      </c>
      <c r="O57" s="18">
        <f t="shared" si="13"/>
        <v>12.025723286120694</v>
      </c>
      <c r="P57" s="18">
        <f t="shared" si="13"/>
        <v>11.282871958544446</v>
      </c>
      <c r="Q57" s="18">
        <f t="shared" si="13"/>
        <v>11.178505217482194</v>
      </c>
      <c r="R57" s="18">
        <f t="shared" si="13"/>
        <v>10.447515023793603</v>
      </c>
      <c r="S57" s="18">
        <f t="shared" si="13"/>
        <v>10.768375340208383</v>
      </c>
      <c r="T57" s="18">
        <f t="shared" si="13"/>
        <v>11.511466138655184</v>
      </c>
      <c r="U57" s="18">
        <f t="shared" si="13"/>
        <v>11.26057897242852</v>
      </c>
      <c r="V57" s="18">
        <f t="shared" si="13"/>
        <v>10.698150229693615</v>
      </c>
      <c r="W57" s="18">
        <f t="shared" si="13"/>
        <v>10.259378548689964</v>
      </c>
      <c r="X57" s="18">
        <f t="shared" si="13"/>
        <v>10.317883406527294</v>
      </c>
      <c r="Y57" s="18">
        <f t="shared" si="13"/>
        <v>9.809954829597181</v>
      </c>
      <c r="AA57" s="8">
        <f>(Y57/H57)-1</f>
        <v>-0.17418817018361332</v>
      </c>
    </row>
    <row r="58" spans="1:27" ht="12.75">
      <c r="A58" t="s">
        <v>163</v>
      </c>
      <c r="G58" s="18">
        <f aca="true" t="shared" si="14" ref="G58:Y58">(G4-G49)/G15/G12</f>
        <v>7.411974693455402</v>
      </c>
      <c r="H58" s="18">
        <f t="shared" si="14"/>
        <v>8.393059996571367</v>
      </c>
      <c r="I58" s="18">
        <f t="shared" si="14"/>
        <v>8.555714441500173</v>
      </c>
      <c r="J58" s="18">
        <f t="shared" si="14"/>
        <v>8.434177188694713</v>
      </c>
      <c r="K58" s="18">
        <f t="shared" si="14"/>
        <v>9.085088394816873</v>
      </c>
      <c r="L58" s="18">
        <f t="shared" si="14"/>
        <v>8.658079704186239</v>
      </c>
      <c r="M58" s="18">
        <f t="shared" si="14"/>
        <v>7.268918165744718</v>
      </c>
      <c r="N58" s="18">
        <f t="shared" si="14"/>
        <v>7.8601706985446285</v>
      </c>
      <c r="O58" s="18">
        <f t="shared" si="14"/>
        <v>8.344207478725068</v>
      </c>
      <c r="P58" s="18">
        <f t="shared" si="14"/>
        <v>8.025332011354834</v>
      </c>
      <c r="Q58" s="18">
        <f t="shared" si="14"/>
        <v>7.9229133703664365</v>
      </c>
      <c r="R58" s="18">
        <f t="shared" si="14"/>
        <v>7.3859313100237936</v>
      </c>
      <c r="S58" s="18">
        <f t="shared" si="14"/>
        <v>7.51942154558414</v>
      </c>
      <c r="T58" s="18">
        <f t="shared" si="14"/>
        <v>7.882181228807059</v>
      </c>
      <c r="U58" s="18">
        <f t="shared" si="14"/>
        <v>7.688969025383918</v>
      </c>
      <c r="V58" s="18">
        <f t="shared" si="14"/>
        <v>7.2977311449499656</v>
      </c>
      <c r="W58" s="18">
        <f t="shared" si="14"/>
        <v>6.927615107773223</v>
      </c>
      <c r="X58" s="18">
        <f t="shared" si="14"/>
        <v>6.781614558472241</v>
      </c>
      <c r="Y58" s="18">
        <f t="shared" si="14"/>
        <v>6.475980842271802</v>
      </c>
      <c r="AA58" s="8">
        <f>(Y58/H58)-1</f>
        <v>-0.2284124211053784</v>
      </c>
    </row>
    <row r="60" spans="1:27" ht="12.75">
      <c r="A60" t="s">
        <v>164</v>
      </c>
      <c r="J60" s="18">
        <f>(G55+H55+I55+J55)/4</f>
        <v>1.4878373741094373</v>
      </c>
      <c r="Y60" s="18">
        <f>(V55+W55+X55+Y55)/4</f>
        <v>1.5267197462331599</v>
      </c>
      <c r="AA60" s="8">
        <f>(Y60/J60)-1</f>
        <v>0.026133482597179736</v>
      </c>
    </row>
    <row r="63" spans="1:25" ht="12.75">
      <c r="A63" t="s">
        <v>0</v>
      </c>
      <c r="B63">
        <v>1939</v>
      </c>
      <c r="C63">
        <v>1940</v>
      </c>
      <c r="D63">
        <v>1941</v>
      </c>
      <c r="E63">
        <v>1942</v>
      </c>
      <c r="F63">
        <v>1943</v>
      </c>
      <c r="G63">
        <v>1944</v>
      </c>
      <c r="H63">
        <v>1945</v>
      </c>
      <c r="I63">
        <v>1946</v>
      </c>
      <c r="J63">
        <v>1947</v>
      </c>
      <c r="K63">
        <v>1948</v>
      </c>
      <c r="L63">
        <v>1949</v>
      </c>
      <c r="M63">
        <v>1950</v>
      </c>
      <c r="N63">
        <v>1951</v>
      </c>
      <c r="O63">
        <v>1952</v>
      </c>
      <c r="P63">
        <v>1953</v>
      </c>
      <c r="Q63">
        <v>1954</v>
      </c>
      <c r="R63">
        <v>1955</v>
      </c>
      <c r="S63">
        <v>1956</v>
      </c>
      <c r="T63">
        <v>1957</v>
      </c>
      <c r="U63">
        <v>1958</v>
      </c>
      <c r="V63">
        <v>1959</v>
      </c>
      <c r="W63">
        <v>1960</v>
      </c>
      <c r="X63">
        <v>1961</v>
      </c>
      <c r="Y63">
        <v>1962</v>
      </c>
    </row>
    <row r="64" spans="1:27" ht="12.75">
      <c r="A64" t="s">
        <v>167</v>
      </c>
      <c r="H64" s="18">
        <v>11671644</v>
      </c>
      <c r="I64">
        <v>14782801</v>
      </c>
      <c r="J64">
        <v>15225821</v>
      </c>
      <c r="K64">
        <v>15619825</v>
      </c>
      <c r="L64">
        <v>14360687</v>
      </c>
      <c r="M64">
        <v>14398794</v>
      </c>
      <c r="U64">
        <v>13887662</v>
      </c>
      <c r="V64" s="6">
        <v>13277513</v>
      </c>
      <c r="W64">
        <v>12568611</v>
      </c>
      <c r="X64">
        <v>11123541</v>
      </c>
      <c r="Z64" s="8">
        <f>(V64-H64)/H64/($X$12-$H$12)</f>
        <v>0.254791140089732</v>
      </c>
      <c r="AA64" t="s">
        <v>167</v>
      </c>
    </row>
    <row r="65" spans="1:27" ht="12.75">
      <c r="A65" t="s">
        <v>170</v>
      </c>
      <c r="H65" s="18">
        <f aca="true" t="shared" si="15" ref="H65:X65">H64/H12</f>
        <v>11010984.905660376</v>
      </c>
      <c r="I65" s="18">
        <f t="shared" si="15"/>
        <v>13687778.703703703</v>
      </c>
      <c r="J65" s="18">
        <f t="shared" si="15"/>
        <v>13841655.454545453</v>
      </c>
      <c r="K65" s="18">
        <f t="shared" si="15"/>
        <v>13237139.830508472</v>
      </c>
      <c r="L65" s="18">
        <f t="shared" si="15"/>
        <v>10879308.333333332</v>
      </c>
      <c r="M65" s="18">
        <f t="shared" si="15"/>
        <v>10284852.857142856</v>
      </c>
      <c r="N65" s="18">
        <f>N69/N12</f>
        <v>9671172.028776977</v>
      </c>
      <c r="O65" s="18">
        <f t="shared" si="15"/>
        <v>0</v>
      </c>
      <c r="P65" s="18">
        <f t="shared" si="15"/>
        <v>0</v>
      </c>
      <c r="Q65" s="18">
        <f t="shared" si="15"/>
        <v>0</v>
      </c>
      <c r="R65" s="18">
        <f t="shared" si="15"/>
        <v>0</v>
      </c>
      <c r="S65" s="18">
        <f t="shared" si="15"/>
        <v>0</v>
      </c>
      <c r="T65" s="18">
        <f t="shared" si="15"/>
        <v>0</v>
      </c>
      <c r="U65" s="18">
        <f t="shared" si="15"/>
        <v>9136619.736842103</v>
      </c>
      <c r="V65" s="18">
        <f t="shared" si="15"/>
        <v>8511226.28205128</v>
      </c>
      <c r="W65" s="18">
        <f t="shared" si="15"/>
        <v>7904786.792452829</v>
      </c>
      <c r="X65" s="18">
        <f t="shared" si="15"/>
        <v>6952213.124999999</v>
      </c>
      <c r="Z65" s="8">
        <f>(V65-H65)/H65/($X$12-$H$12)</f>
        <v>-0.42041494707103194</v>
      </c>
      <c r="AA65" t="s">
        <v>171</v>
      </c>
    </row>
    <row r="66" spans="8:26" ht="12.75">
      <c r="H66" s="18"/>
      <c r="V66" s="6"/>
      <c r="Z66" s="8"/>
    </row>
    <row r="67" spans="8:26" ht="12.75">
      <c r="H67" s="18"/>
      <c r="V67" s="6"/>
      <c r="Z67" s="8"/>
    </row>
    <row r="68" spans="1:27" ht="12.75">
      <c r="A68" t="s">
        <v>165</v>
      </c>
      <c r="H68" s="18">
        <v>7197743</v>
      </c>
      <c r="I68">
        <v>7602336</v>
      </c>
      <c r="J68">
        <v>7322843</v>
      </c>
      <c r="K68">
        <v>8137930</v>
      </c>
      <c r="L68">
        <v>7074218</v>
      </c>
      <c r="M68">
        <v>6164375</v>
      </c>
      <c r="N68" s="22">
        <v>5564173.58</v>
      </c>
      <c r="U68">
        <v>9895124</v>
      </c>
      <c r="V68" s="6">
        <v>9966568</v>
      </c>
      <c r="W68">
        <v>9533667</v>
      </c>
      <c r="X68">
        <v>9137583</v>
      </c>
      <c r="Z68" s="8">
        <f>(V68-H68)/H68/($X$12-$H$12)</f>
        <v>0.7123696558356837</v>
      </c>
      <c r="AA68" t="s">
        <v>165</v>
      </c>
    </row>
    <row r="69" spans="1:27" ht="12.75">
      <c r="A69" t="s">
        <v>166</v>
      </c>
      <c r="H69" s="18">
        <v>9982768</v>
      </c>
      <c r="I69">
        <v>11168574</v>
      </c>
      <c r="J69">
        <v>11625995</v>
      </c>
      <c r="K69">
        <v>13052415</v>
      </c>
      <c r="L69">
        <v>12728819</v>
      </c>
      <c r="M69">
        <v>12582186</v>
      </c>
      <c r="N69" s="6">
        <v>13442929.12</v>
      </c>
      <c r="U69">
        <v>12573944</v>
      </c>
      <c r="V69" s="6">
        <v>12613963</v>
      </c>
      <c r="W69">
        <v>12091384</v>
      </c>
      <c r="X69">
        <v>11522294</v>
      </c>
      <c r="Z69" s="8">
        <f>(V69-H69)/H69/($X$12-$H$12)</f>
        <v>0.48809942626467234</v>
      </c>
      <c r="AA69" t="s">
        <v>166</v>
      </c>
    </row>
    <row r="70" spans="1:27" ht="12.75">
      <c r="A70" t="s">
        <v>168</v>
      </c>
      <c r="H70" s="18">
        <v>2530025</v>
      </c>
      <c r="I70">
        <v>2831000</v>
      </c>
      <c r="J70">
        <v>2811141</v>
      </c>
      <c r="K70">
        <v>3342919</v>
      </c>
      <c r="L70">
        <v>3290226</v>
      </c>
      <c r="M70">
        <v>3264873</v>
      </c>
      <c r="U70">
        <v>1317649</v>
      </c>
      <c r="V70" s="6">
        <v>1222756</v>
      </c>
      <c r="W70">
        <v>1124921</v>
      </c>
      <c r="X70">
        <v>1006695</v>
      </c>
      <c r="Z70" s="8">
        <f>(V70-H70)/H70/($X$12-$H$12)</f>
        <v>-0.9568555719878331</v>
      </c>
      <c r="AA70" t="s">
        <v>168</v>
      </c>
    </row>
    <row r="71" ht="12.75">
      <c r="Z71" s="8"/>
    </row>
    <row r="72" spans="1:26" ht="12.75">
      <c r="A72" t="s">
        <v>169</v>
      </c>
      <c r="H72" s="18">
        <f>H68/H$15/H$12</f>
        <v>0.37346285065435436</v>
      </c>
      <c r="I72" s="18">
        <f>I68/I15/I12</f>
        <v>0.4470917031499602</v>
      </c>
      <c r="J72" s="18">
        <f>J68/J15/J12</f>
        <v>0.3925603106691233</v>
      </c>
      <c r="K72" s="18">
        <f>L68/K15/K12</f>
        <v>0.36677920492649363</v>
      </c>
      <c r="L72" s="18" t="e">
        <f>#REF!/L15/L12</f>
        <v>#REF!</v>
      </c>
      <c r="M72" s="18">
        <f aca="true" t="shared" si="16" ref="M72:X72">M68/M15/M12</f>
        <v>0.27081423218472117</v>
      </c>
      <c r="N72" s="18">
        <f t="shared" si="16"/>
        <v>0.23923770629694202</v>
      </c>
      <c r="O72" s="18">
        <f t="shared" si="16"/>
        <v>0</v>
      </c>
      <c r="P72" s="18">
        <f t="shared" si="16"/>
        <v>0</v>
      </c>
      <c r="Q72" s="18">
        <f t="shared" si="16"/>
        <v>0</v>
      </c>
      <c r="R72" s="18">
        <f t="shared" si="16"/>
        <v>0</v>
      </c>
      <c r="S72" s="18">
        <f t="shared" si="16"/>
        <v>0</v>
      </c>
      <c r="T72" s="18">
        <f t="shared" si="16"/>
        <v>0</v>
      </c>
      <c r="U72" s="18">
        <f t="shared" si="16"/>
        <v>0.4561677897519822</v>
      </c>
      <c r="V72" s="18">
        <f t="shared" si="16"/>
        <v>0.4405182523246015</v>
      </c>
      <c r="W72" s="18">
        <f t="shared" si="16"/>
        <v>0.4245887591316826</v>
      </c>
      <c r="X72" s="18">
        <f t="shared" si="16"/>
        <v>0.4250084149738981</v>
      </c>
      <c r="Y72" s="18">
        <f>Z68/Y15/Y12</f>
        <v>3.0695721764925834E-08</v>
      </c>
      <c r="Z72" s="8">
        <f>(V72-H72)/H72</f>
        <v>0.17955039317232643</v>
      </c>
    </row>
    <row r="73" spans="8:26" ht="12.75">
      <c r="H73" s="18">
        <f>H69/H$15/H$12</f>
        <v>0.5179669508484906</v>
      </c>
      <c r="I73" s="18">
        <f>I69/I$15/I$12</f>
        <v>0.656821373248481</v>
      </c>
      <c r="J73" s="18">
        <f>J69/J$15/J$12</f>
        <v>0.623242121814939</v>
      </c>
      <c r="K73" s="18">
        <f>K69/K$15/K$12</f>
        <v>0.6767326644543099</v>
      </c>
      <c r="L73" s="18">
        <f>L69/L$15/L$12</f>
        <v>0.6526702296558561</v>
      </c>
      <c r="M73" s="18">
        <f>M69/M$15/M$12</f>
        <v>0.5527624521213178</v>
      </c>
      <c r="N73" s="18" t="e">
        <f>#REF!/N$15/N$12</f>
        <v>#REF!</v>
      </c>
      <c r="O73" s="18">
        <f>O69/O$15/O$12</f>
        <v>0</v>
      </c>
      <c r="P73" s="18">
        <f>P69/P$15/P$12</f>
        <v>0</v>
      </c>
      <c r="Q73" s="18">
        <f>Q69/Q$15/Q$12</f>
        <v>0</v>
      </c>
      <c r="R73" s="18">
        <f>R69/R$15/R$12</f>
        <v>0</v>
      </c>
      <c r="S73" s="18">
        <f>S69/S$15/S$12</f>
        <v>0</v>
      </c>
      <c r="T73" s="18">
        <f>T69/T$15/T$12</f>
        <v>0</v>
      </c>
      <c r="U73" s="18">
        <f>U69/U$15/U$12</f>
        <v>0.5796620884129595</v>
      </c>
      <c r="V73" s="18">
        <f>V69/V$15/V$12</f>
        <v>0.557532034663004</v>
      </c>
      <c r="W73" s="18">
        <f>W69/W$15/W$12</f>
        <v>0.5384985366852735</v>
      </c>
      <c r="X73" s="18">
        <f aca="true" t="shared" si="17" ref="I73:X74">X69/X$15/X$12</f>
        <v>0.5359263942995928</v>
      </c>
      <c r="Z73" s="8">
        <f>(V73-H73)/H73</f>
        <v>0.07638534418016661</v>
      </c>
    </row>
    <row r="74" spans="8:26" ht="12.75">
      <c r="H74" s="18">
        <f>H70/H$15/H$12</f>
        <v>0.13127314336268783</v>
      </c>
      <c r="I74" s="18">
        <f t="shared" si="17"/>
        <v>0.16649048550571</v>
      </c>
      <c r="J74" s="18">
        <f t="shared" si="17"/>
        <v>0.15069862678944637</v>
      </c>
      <c r="K74" s="18">
        <f t="shared" si="17"/>
        <v>0.1733213724758933</v>
      </c>
      <c r="L74" s="18">
        <f t="shared" si="17"/>
        <v>0.16870634730839276</v>
      </c>
      <c r="M74" s="18">
        <f t="shared" si="17"/>
        <v>0.143432882437494</v>
      </c>
      <c r="N74" s="18">
        <f t="shared" si="17"/>
        <v>0</v>
      </c>
      <c r="O74" s="18">
        <f t="shared" si="17"/>
        <v>0</v>
      </c>
      <c r="P74" s="18">
        <f t="shared" si="17"/>
        <v>0</v>
      </c>
      <c r="Q74" s="18">
        <f t="shared" si="17"/>
        <v>0</v>
      </c>
      <c r="R74" s="18">
        <f t="shared" si="17"/>
        <v>0</v>
      </c>
      <c r="S74" s="18">
        <f t="shared" si="17"/>
        <v>0</v>
      </c>
      <c r="T74" s="18">
        <f t="shared" si="17"/>
        <v>0</v>
      </c>
      <c r="U74" s="18">
        <f t="shared" si="17"/>
        <v>0.06074396157126577</v>
      </c>
      <c r="V74" s="18">
        <f t="shared" si="17"/>
        <v>0.05404531792081491</v>
      </c>
      <c r="W74" s="18">
        <f t="shared" si="17"/>
        <v>0.05009917081341016</v>
      </c>
      <c r="X74" s="18">
        <f t="shared" si="17"/>
        <v>0.046823525029775194</v>
      </c>
      <c r="Z74" s="8">
        <f>(V74-H74)/H74</f>
        <v>-0.5882987446145335</v>
      </c>
    </row>
    <row r="75" spans="7:26" ht="12.75">
      <c r="G75" t="s">
        <v>172</v>
      </c>
      <c r="H75" s="18">
        <f>H72+H73</f>
        <v>0.891429801502845</v>
      </c>
      <c r="I75" s="18">
        <f aca="true" t="shared" si="18" ref="I75:X75">I72+I73</f>
        <v>1.1039130763984413</v>
      </c>
      <c r="J75" s="18">
        <f t="shared" si="18"/>
        <v>1.0158024324840622</v>
      </c>
      <c r="K75" s="18">
        <f t="shared" si="18"/>
        <v>1.0435118693808034</v>
      </c>
      <c r="L75" s="18" t="e">
        <f t="shared" si="18"/>
        <v>#REF!</v>
      </c>
      <c r="M75" s="18">
        <f t="shared" si="18"/>
        <v>0.823576684306039</v>
      </c>
      <c r="N75" s="18" t="e">
        <f t="shared" si="18"/>
        <v>#REF!</v>
      </c>
      <c r="O75" s="18">
        <f t="shared" si="18"/>
        <v>0</v>
      </c>
      <c r="P75" s="18">
        <f t="shared" si="18"/>
        <v>0</v>
      </c>
      <c r="Q75" s="18">
        <f t="shared" si="18"/>
        <v>0</v>
      </c>
      <c r="R75" s="18">
        <f t="shared" si="18"/>
        <v>0</v>
      </c>
      <c r="S75" s="18">
        <f t="shared" si="18"/>
        <v>0</v>
      </c>
      <c r="T75" s="18">
        <f t="shared" si="18"/>
        <v>0</v>
      </c>
      <c r="U75" s="18">
        <f t="shared" si="18"/>
        <v>1.0358298781649418</v>
      </c>
      <c r="V75" s="18">
        <f t="shared" si="18"/>
        <v>0.9980502869876056</v>
      </c>
      <c r="W75" s="18">
        <f t="shared" si="18"/>
        <v>0.9630872958169561</v>
      </c>
      <c r="X75" s="18">
        <f t="shared" si="18"/>
        <v>0.9609348092734908</v>
      </c>
      <c r="Z75" s="8">
        <f>(V75-H75)/H75</f>
        <v>0.11960614880163424</v>
      </c>
    </row>
    <row r="77" ht="12.75">
      <c r="K77">
        <f>(H75+I75+J75+K75)/4</f>
        <v>1.013664294941538</v>
      </c>
    </row>
    <row r="80" spans="7:24" ht="12.75">
      <c r="G80" t="s">
        <v>173</v>
      </c>
      <c r="H80" s="18">
        <f>H49+H68+H69</f>
        <v>42280629.228907585</v>
      </c>
      <c r="I80" s="18">
        <f aca="true" t="shared" si="19" ref="I80:X80">I49+I68+I69</f>
        <v>45113021.267420694</v>
      </c>
      <c r="J80" s="18">
        <f t="shared" si="19"/>
        <v>47752371.322723225</v>
      </c>
      <c r="K80" s="18">
        <f t="shared" si="19"/>
        <v>56239179.19682516</v>
      </c>
      <c r="L80" s="18">
        <f t="shared" si="19"/>
        <v>53059101.2662365</v>
      </c>
      <c r="M80" s="18">
        <f t="shared" si="19"/>
        <v>52939678.77457383</v>
      </c>
      <c r="N80" s="18" t="e">
        <f>N49+N68+#REF!</f>
        <v>#REF!</v>
      </c>
      <c r="O80" s="18">
        <f t="shared" si="19"/>
        <v>35150471.3200521</v>
      </c>
      <c r="P80" s="18">
        <f t="shared" si="19"/>
        <v>33349231.321985126</v>
      </c>
      <c r="Q80" s="18">
        <f t="shared" si="19"/>
        <v>30905947.749519322</v>
      </c>
      <c r="R80" s="18">
        <f t="shared" si="19"/>
        <v>31084959.294230737</v>
      </c>
      <c r="S80" s="18">
        <f t="shared" si="19"/>
        <v>33478647.265486352</v>
      </c>
      <c r="T80" s="18">
        <f t="shared" si="19"/>
        <v>34240209.87149122</v>
      </c>
      <c r="U80" s="18">
        <f t="shared" si="19"/>
        <v>55092939.944375396</v>
      </c>
      <c r="V80" s="18">
        <f t="shared" si="19"/>
        <v>56323553.34652746</v>
      </c>
      <c r="W80" s="18">
        <f t="shared" si="19"/>
        <v>54002983.816843465</v>
      </c>
      <c r="X80" s="18">
        <f t="shared" si="19"/>
        <v>50740289.47684107</v>
      </c>
    </row>
    <row r="81" spans="7:24" ht="12.75">
      <c r="G81" t="s">
        <v>159</v>
      </c>
      <c r="H81" s="18"/>
      <c r="I81" s="18">
        <f aca="true" t="shared" si="20" ref="I81:X81">I80/I12</f>
        <v>41771315.98835249</v>
      </c>
      <c r="J81" s="18">
        <f t="shared" si="20"/>
        <v>43411246.65702111</v>
      </c>
      <c r="K81" s="18">
        <f t="shared" si="20"/>
        <v>47660321.35324165</v>
      </c>
      <c r="L81" s="18">
        <f t="shared" si="20"/>
        <v>40196288.83805795</v>
      </c>
      <c r="M81" s="18">
        <f t="shared" si="20"/>
        <v>37814056.26755273</v>
      </c>
      <c r="N81" s="18" t="e">
        <f t="shared" si="20"/>
        <v>#REF!</v>
      </c>
      <c r="O81" s="18">
        <f t="shared" si="20"/>
        <v>25107479.51432293</v>
      </c>
      <c r="P81" s="18">
        <f t="shared" si="20"/>
        <v>22533264.406746704</v>
      </c>
      <c r="Q81" s="18">
        <f t="shared" si="20"/>
        <v>20603965.16634621</v>
      </c>
      <c r="R81" s="18">
        <f t="shared" si="20"/>
        <v>20586065.757768698</v>
      </c>
      <c r="S81" s="18">
        <f t="shared" si="20"/>
        <v>22171289.579792283</v>
      </c>
      <c r="T81" s="18">
        <f t="shared" si="20"/>
        <v>22675635.67648425</v>
      </c>
      <c r="U81" s="18">
        <f t="shared" si="20"/>
        <v>36245355.22656275</v>
      </c>
      <c r="V81" s="18">
        <f t="shared" si="20"/>
        <v>36104841.888799645</v>
      </c>
      <c r="W81" s="18">
        <f t="shared" si="20"/>
        <v>33964140.76531035</v>
      </c>
      <c r="X81" s="18">
        <f t="shared" si="20"/>
        <v>31712680.923025664</v>
      </c>
    </row>
    <row r="82" spans="7:26" ht="12.75">
      <c r="G82" t="s">
        <v>174</v>
      </c>
      <c r="H82" s="18">
        <f>H56+H75</f>
        <v>2.134455858249117</v>
      </c>
      <c r="I82" s="18">
        <f aca="true" t="shared" si="21" ref="I82:X82">I56+I75</f>
        <v>2.585858900083452</v>
      </c>
      <c r="J82" s="18">
        <f t="shared" si="21"/>
        <v>2.533388115723092</v>
      </c>
      <c r="K82" s="18">
        <f t="shared" si="21"/>
        <v>2.9044952793965</v>
      </c>
      <c r="L82" s="18" t="e">
        <f t="shared" si="21"/>
        <v>#REF!</v>
      </c>
      <c r="M82" s="18">
        <f t="shared" si="21"/>
        <v>2.461988942653379</v>
      </c>
      <c r="N82" s="18" t="e">
        <f t="shared" si="21"/>
        <v>#REF!</v>
      </c>
      <c r="O82" s="18">
        <f t="shared" si="21"/>
        <v>1.6661690160932465</v>
      </c>
      <c r="P82" s="18">
        <f t="shared" si="21"/>
        <v>1.5625720292214802</v>
      </c>
      <c r="Q82" s="18">
        <f t="shared" si="21"/>
        <v>1.548699729422067</v>
      </c>
      <c r="R82" s="18">
        <f t="shared" si="21"/>
        <v>1.397300177121674</v>
      </c>
      <c r="S82" s="18">
        <f t="shared" si="21"/>
        <v>1.5089372399707794</v>
      </c>
      <c r="T82" s="18">
        <f t="shared" si="21"/>
        <v>1.6444274452408563</v>
      </c>
      <c r="U82" s="18">
        <f t="shared" si="21"/>
        <v>2.6207809780249525</v>
      </c>
      <c r="V82" s="18">
        <f t="shared" si="21"/>
        <v>2.5879069699043455</v>
      </c>
      <c r="W82" s="18">
        <f t="shared" si="21"/>
        <v>2.5037640467197124</v>
      </c>
      <c r="X82" s="18">
        <f t="shared" si="21"/>
        <v>2.465087409042651</v>
      </c>
      <c r="Z82" s="8">
        <f>V82/H82</f>
        <v>1.2124434243522806</v>
      </c>
    </row>
    <row r="83" spans="7:24" ht="12.75">
      <c r="G83" t="s">
        <v>190</v>
      </c>
      <c r="H83" s="18">
        <f>H80/H88</f>
        <v>2.3254038076164854</v>
      </c>
      <c r="I83" s="18">
        <f aca="true" t="shared" si="22" ref="I83:X83">I80/I88</f>
        <v>2.865333775527261</v>
      </c>
      <c r="J83" s="18">
        <f t="shared" si="22"/>
        <v>2.815880975981476</v>
      </c>
      <c r="K83" s="18">
        <f t="shared" si="22"/>
        <v>3.440703479763496</v>
      </c>
      <c r="L83" s="18">
        <f t="shared" si="22"/>
        <v>3.5911993459545326</v>
      </c>
      <c r="M83" s="18">
        <f t="shared" si="22"/>
        <v>3.2560552924211765</v>
      </c>
      <c r="N83" s="18" t="e">
        <f t="shared" si="22"/>
        <v>#REF!</v>
      </c>
      <c r="O83" s="18">
        <f t="shared" si="22"/>
        <v>2.196175738940879</v>
      </c>
      <c r="P83" s="18">
        <f t="shared" si="22"/>
        <v>2.143026048358136</v>
      </c>
      <c r="Q83" s="18">
        <f t="shared" si="22"/>
        <v>2.179748192992275</v>
      </c>
      <c r="R83" s="18">
        <f t="shared" si="22"/>
        <v>1.9975236261524565</v>
      </c>
      <c r="S83" s="18">
        <f t="shared" si="22"/>
        <v>2.144370330649027</v>
      </c>
      <c r="T83" s="18">
        <f t="shared" si="22"/>
        <v>2.3429542495476787</v>
      </c>
      <c r="U83" s="18">
        <f t="shared" si="22"/>
        <v>3.8604942657569445</v>
      </c>
      <c r="V83" s="18">
        <f t="shared" si="22"/>
        <v>3.8835859168854348</v>
      </c>
      <c r="W83" s="18">
        <f t="shared" si="22"/>
        <v>3.82404852427099</v>
      </c>
      <c r="X83" s="18">
        <f t="shared" si="22"/>
        <v>3.7760620077968516</v>
      </c>
    </row>
    <row r="85" spans="8:24" ht="12.75">
      <c r="H85" s="8">
        <f aca="true" t="shared" si="23" ref="H85:X85">H80/H2</f>
        <v>0.18467436152501113</v>
      </c>
      <c r="I85" s="8">
        <f t="shared" si="23"/>
        <v>0.22424195435214117</v>
      </c>
      <c r="J85" s="8">
        <f t="shared" si="23"/>
        <v>0.20629284056536598</v>
      </c>
      <c r="K85" s="8">
        <f t="shared" si="23"/>
        <v>0.22134201574292545</v>
      </c>
      <c r="L85" s="8">
        <f t="shared" si="23"/>
        <v>0.2229174875649196</v>
      </c>
      <c r="M85" s="8">
        <f t="shared" si="23"/>
        <v>0.2072638697762281</v>
      </c>
      <c r="N85" s="8" t="e">
        <f t="shared" si="23"/>
        <v>#REF!</v>
      </c>
      <c r="O85" s="8">
        <f t="shared" si="23"/>
        <v>0.13044512326313293</v>
      </c>
      <c r="P85" s="8">
        <f t="shared" si="23"/>
        <v>0.12833528365252808</v>
      </c>
      <c r="Q85" s="8">
        <f t="shared" si="23"/>
        <v>0.12999640235639265</v>
      </c>
      <c r="R85" s="8">
        <f t="shared" si="23"/>
        <v>0.1266199020116307</v>
      </c>
      <c r="S85" s="8">
        <f t="shared" si="23"/>
        <v>0.1318780927380677</v>
      </c>
      <c r="T85" s="8">
        <f t="shared" si="23"/>
        <v>0.13478954914491406</v>
      </c>
      <c r="U85" s="8">
        <f t="shared" si="23"/>
        <v>0.22554780400451058</v>
      </c>
      <c r="V85" s="8">
        <f t="shared" si="23"/>
        <v>0.23270173800138658</v>
      </c>
      <c r="W85" s="8">
        <f t="shared" si="23"/>
        <v>0.234425696794024</v>
      </c>
      <c r="X85" s="8">
        <f t="shared" si="23"/>
        <v>0.22873283811096617</v>
      </c>
    </row>
    <row r="87" spans="3:26" ht="12.75">
      <c r="C87" t="s">
        <v>184</v>
      </c>
      <c r="G87" s="39">
        <f>G32</f>
        <v>9274547</v>
      </c>
      <c r="H87" s="39">
        <f aca="true" t="shared" si="24" ref="H87:Z87">H32</f>
        <v>9638564</v>
      </c>
      <c r="I87" s="39">
        <f t="shared" si="24"/>
        <v>10386902</v>
      </c>
      <c r="J87" s="39">
        <f t="shared" si="24"/>
        <v>12621795</v>
      </c>
      <c r="K87" s="39">
        <f t="shared" si="24"/>
        <v>15645584</v>
      </c>
      <c r="L87" s="39">
        <f t="shared" si="24"/>
        <v>13302013</v>
      </c>
      <c r="M87" s="39">
        <f t="shared" si="24"/>
        <v>13527558</v>
      </c>
      <c r="N87" s="39">
        <f t="shared" si="24"/>
        <v>12521647</v>
      </c>
      <c r="O87" s="39">
        <f t="shared" si="24"/>
        <v>11288567</v>
      </c>
      <c r="P87" s="39">
        <f t="shared" si="24"/>
        <v>10310008</v>
      </c>
      <c r="Q87" s="39">
        <f t="shared" si="24"/>
        <v>8429801</v>
      </c>
      <c r="R87" s="39">
        <f t="shared" si="24"/>
        <v>7799279</v>
      </c>
      <c r="S87" s="39">
        <f t="shared" si="24"/>
        <v>8709302</v>
      </c>
      <c r="T87" s="39">
        <f t="shared" si="24"/>
        <v>8501211</v>
      </c>
      <c r="U87" s="39">
        <f t="shared" si="24"/>
        <v>7422354</v>
      </c>
      <c r="V87" s="39">
        <f t="shared" si="24"/>
        <v>7758785</v>
      </c>
      <c r="W87" s="39">
        <f t="shared" si="24"/>
        <v>7243332</v>
      </c>
      <c r="X87" s="39">
        <f t="shared" si="24"/>
        <v>6913371</v>
      </c>
      <c r="Y87" s="39">
        <f t="shared" si="24"/>
        <v>7240054</v>
      </c>
      <c r="Z87" s="39">
        <f t="shared" si="24"/>
        <v>0</v>
      </c>
    </row>
    <row r="88" spans="3:25" ht="12.75">
      <c r="C88" t="s">
        <v>185</v>
      </c>
      <c r="G88" s="5">
        <f>G15</f>
        <v>18323916.893</v>
      </c>
      <c r="H88" s="5">
        <f aca="true" t="shared" si="25" ref="H88:Y88">H15</f>
        <v>18182059</v>
      </c>
      <c r="I88" s="5">
        <f t="shared" si="25"/>
        <v>15744421</v>
      </c>
      <c r="J88" s="5">
        <f t="shared" si="25"/>
        <v>16958235</v>
      </c>
      <c r="K88" s="5">
        <f t="shared" si="25"/>
        <v>16345256</v>
      </c>
      <c r="L88" s="5">
        <f t="shared" si="25"/>
        <v>14774758</v>
      </c>
      <c r="M88" s="5">
        <f t="shared" si="25"/>
        <v>16258839</v>
      </c>
      <c r="N88" s="5">
        <f t="shared" si="25"/>
        <v>16732323</v>
      </c>
      <c r="O88" s="5">
        <f t="shared" si="25"/>
        <v>16005309</v>
      </c>
      <c r="P88" s="5">
        <f t="shared" si="25"/>
        <v>15561748</v>
      </c>
      <c r="Q88" s="5">
        <f t="shared" si="25"/>
        <v>14178678</v>
      </c>
      <c r="R88" s="5">
        <f t="shared" si="25"/>
        <v>15561748</v>
      </c>
      <c r="S88" s="5">
        <f t="shared" si="25"/>
        <v>15612344</v>
      </c>
      <c r="T88" s="5">
        <f t="shared" si="25"/>
        <v>14614118</v>
      </c>
      <c r="U88" s="5">
        <f t="shared" si="25"/>
        <v>14270955</v>
      </c>
      <c r="V88" s="5">
        <f t="shared" si="25"/>
        <v>14502976</v>
      </c>
      <c r="W88" s="5">
        <f t="shared" si="25"/>
        <v>14121940</v>
      </c>
      <c r="X88" s="5">
        <f t="shared" si="25"/>
        <v>13437356</v>
      </c>
      <c r="Y88" s="5">
        <f t="shared" si="25"/>
        <v>14325591</v>
      </c>
    </row>
    <row r="89" spans="3:25" ht="12.75">
      <c r="C89" t="s">
        <v>188</v>
      </c>
      <c r="G89" s="40">
        <f>G87/G88</f>
        <v>0.5061443497128614</v>
      </c>
      <c r="H89" s="40">
        <f aca="true" t="shared" si="26" ref="H89:Y89">H87/H88</f>
        <v>0.530113998640088</v>
      </c>
      <c r="I89" s="40">
        <f t="shared" si="26"/>
        <v>0.6597195285873009</v>
      </c>
      <c r="J89" s="40">
        <f t="shared" si="26"/>
        <v>0.7442870676105149</v>
      </c>
      <c r="K89" s="40">
        <f t="shared" si="26"/>
        <v>0.9571941852730848</v>
      </c>
      <c r="L89" s="40">
        <f t="shared" si="26"/>
        <v>0.9003201947537821</v>
      </c>
      <c r="M89" s="40">
        <f t="shared" si="26"/>
        <v>0.8320125440691061</v>
      </c>
      <c r="N89" s="40">
        <f t="shared" si="26"/>
        <v>0.7483507818968114</v>
      </c>
      <c r="O89" s="40">
        <f t="shared" si="26"/>
        <v>0.7053014096760019</v>
      </c>
      <c r="P89" s="40">
        <f t="shared" si="26"/>
        <v>0.662522487833629</v>
      </c>
      <c r="Q89" s="40">
        <f t="shared" si="26"/>
        <v>0.5945406899007086</v>
      </c>
      <c r="R89" s="40">
        <f t="shared" si="26"/>
        <v>0.5011827077523682</v>
      </c>
      <c r="S89" s="40">
        <f t="shared" si="26"/>
        <v>0.5578471752864272</v>
      </c>
      <c r="T89" s="40">
        <f t="shared" si="26"/>
        <v>0.5817122182809801</v>
      </c>
      <c r="U89" s="40">
        <f t="shared" si="26"/>
        <v>0.5201021235089032</v>
      </c>
      <c r="V89" s="40">
        <f t="shared" si="26"/>
        <v>0.5349788208985521</v>
      </c>
      <c r="W89" s="40">
        <f t="shared" si="26"/>
        <v>0.5129133815892151</v>
      </c>
      <c r="X89" s="40">
        <f t="shared" si="26"/>
        <v>0.5144889366628376</v>
      </c>
      <c r="Y89" s="40">
        <f t="shared" si="26"/>
        <v>0.5053930410270683</v>
      </c>
    </row>
    <row r="90" spans="3:25" ht="12.75">
      <c r="C90" t="s">
        <v>186</v>
      </c>
      <c r="G90" s="6">
        <f>G20+G21</f>
        <v>12272485</v>
      </c>
      <c r="H90" s="6">
        <f aca="true" t="shared" si="27" ref="H90:Y90">H20+H21</f>
        <v>12133493</v>
      </c>
      <c r="I90" s="6">
        <f t="shared" si="27"/>
        <v>12036814</v>
      </c>
      <c r="J90" s="6">
        <f t="shared" si="27"/>
        <v>12517474</v>
      </c>
      <c r="K90" s="6">
        <f t="shared" si="27"/>
        <v>15573456</v>
      </c>
      <c r="L90" s="6">
        <f t="shared" si="27"/>
        <v>15223818</v>
      </c>
      <c r="M90" s="6">
        <f t="shared" si="27"/>
        <v>14589217</v>
      </c>
      <c r="N90" s="6">
        <f t="shared" si="27"/>
        <v>16327405</v>
      </c>
      <c r="O90" s="6">
        <f t="shared" si="27"/>
        <v>15614472</v>
      </c>
      <c r="P90" s="6">
        <f t="shared" si="27"/>
        <v>14305927</v>
      </c>
      <c r="Q90" s="6">
        <f t="shared" si="27"/>
        <v>12124999</v>
      </c>
      <c r="R90" s="6">
        <f t="shared" si="27"/>
        <v>11982057</v>
      </c>
      <c r="S90" s="6">
        <f t="shared" si="27"/>
        <v>12655863</v>
      </c>
      <c r="T90" s="6">
        <f t="shared" si="27"/>
        <v>13703786</v>
      </c>
      <c r="U90" s="6">
        <f t="shared" si="27"/>
        <v>13180550</v>
      </c>
      <c r="V90" s="6">
        <f t="shared" si="27"/>
        <v>13197294</v>
      </c>
      <c r="W90" s="6">
        <f t="shared" si="27"/>
        <v>12448450</v>
      </c>
      <c r="X90" s="6">
        <f t="shared" si="27"/>
        <v>10658156</v>
      </c>
      <c r="Y90" s="6">
        <f t="shared" si="27"/>
        <v>10913437</v>
      </c>
    </row>
    <row r="91" spans="3:25" ht="12.75">
      <c r="C91" t="s">
        <v>187</v>
      </c>
      <c r="G91" s="18">
        <f>G90/G88</f>
        <v>0.6697522735812159</v>
      </c>
      <c r="H91" s="18">
        <f aca="true" t="shared" si="28" ref="H91:Y91">H90/H88</f>
        <v>0.6673332761707571</v>
      </c>
      <c r="I91" s="18">
        <f t="shared" si="28"/>
        <v>0.7645129662119681</v>
      </c>
      <c r="J91" s="18">
        <f t="shared" si="28"/>
        <v>0.7381354250604499</v>
      </c>
      <c r="K91" s="18">
        <f t="shared" si="28"/>
        <v>0.952781406421533</v>
      </c>
      <c r="L91" s="18">
        <f t="shared" si="28"/>
        <v>1.030393729629954</v>
      </c>
      <c r="M91" s="18">
        <f t="shared" si="28"/>
        <v>0.8973098878708375</v>
      </c>
      <c r="N91" s="18">
        <f t="shared" si="28"/>
        <v>0.9758002520032634</v>
      </c>
      <c r="O91" s="18">
        <f t="shared" si="28"/>
        <v>0.9755807900990853</v>
      </c>
      <c r="P91" s="18">
        <f t="shared" si="28"/>
        <v>0.9193007752085434</v>
      </c>
      <c r="Q91" s="18">
        <f t="shared" si="28"/>
        <v>0.8551572297501925</v>
      </c>
      <c r="R91" s="18">
        <f t="shared" si="28"/>
        <v>0.7699685793652487</v>
      </c>
      <c r="S91" s="18">
        <f t="shared" si="28"/>
        <v>0.8106318308128491</v>
      </c>
      <c r="T91" s="18">
        <f t="shared" si="28"/>
        <v>0.937708727957445</v>
      </c>
      <c r="U91" s="18">
        <f t="shared" si="28"/>
        <v>0.9235927098081382</v>
      </c>
      <c r="V91" s="18">
        <f t="shared" si="28"/>
        <v>0.9099714431024364</v>
      </c>
      <c r="W91" s="18">
        <f t="shared" si="28"/>
        <v>0.8814971597386762</v>
      </c>
      <c r="X91" s="18">
        <f t="shared" si="28"/>
        <v>0.7931735975440407</v>
      </c>
      <c r="Y91" s="18">
        <f t="shared" si="28"/>
        <v>0.7618140850175047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171"/>
  <sheetViews>
    <sheetView workbookViewId="0" topLeftCell="Q1">
      <selection activeCell="O91" sqref="O91"/>
    </sheetView>
  </sheetViews>
  <sheetFormatPr defaultColWidth="9.140625" defaultRowHeight="12.75"/>
  <cols>
    <col min="1" max="3" width="24.421875" style="0" customWidth="1"/>
    <col min="4" max="4" width="15.57421875" style="0" customWidth="1"/>
    <col min="5" max="5" width="17.421875" style="0" customWidth="1"/>
    <col min="6" max="6" width="16.8515625" style="0" customWidth="1"/>
    <col min="7" max="7" width="17.140625" style="0" customWidth="1"/>
    <col min="8" max="8" width="20.421875" style="0" customWidth="1"/>
    <col min="9" max="9" width="13.7109375" style="0" customWidth="1"/>
    <col min="10" max="10" width="16.28125" style="0" customWidth="1"/>
    <col min="11" max="11" width="17.7109375" style="0" customWidth="1"/>
    <col min="12" max="12" width="16.421875" style="0" customWidth="1"/>
    <col min="13" max="13" width="15.421875" style="0" bestFit="1" customWidth="1"/>
    <col min="14" max="14" width="13.8515625" style="0" bestFit="1" customWidth="1"/>
    <col min="15" max="15" width="14.421875" style="0" bestFit="1" customWidth="1"/>
    <col min="16" max="16" width="17.57421875" style="0" bestFit="1" customWidth="1"/>
    <col min="17" max="18" width="13.8515625" style="0" bestFit="1" customWidth="1"/>
    <col min="19" max="19" width="14.421875" style="0" bestFit="1" customWidth="1"/>
    <col min="20" max="20" width="14.00390625" style="0" customWidth="1"/>
    <col min="21" max="21" width="14.421875" style="0" customWidth="1"/>
    <col min="22" max="22" width="15.421875" style="0" bestFit="1" customWidth="1"/>
    <col min="23" max="23" width="17.7109375" style="0" customWidth="1"/>
    <col min="24" max="24" width="14.7109375" style="0" customWidth="1"/>
    <col min="25" max="25" width="15.421875" style="0" customWidth="1"/>
    <col min="26" max="26" width="12.28125" style="0" bestFit="1" customWidth="1"/>
    <col min="27" max="27" width="14.421875" style="0" bestFit="1" customWidth="1"/>
    <col min="28" max="28" width="12.28125" style="0" bestFit="1" customWidth="1"/>
    <col min="29" max="30" width="10.140625" style="0" bestFit="1" customWidth="1"/>
    <col min="31" max="32" width="12.28125" style="0" bestFit="1" customWidth="1"/>
    <col min="33" max="36" width="11.140625" style="0" bestFit="1" customWidth="1"/>
    <col min="37" max="37" width="12.28125" style="0" bestFit="1" customWidth="1"/>
    <col min="38" max="40" width="11.140625" style="0" bestFit="1" customWidth="1"/>
    <col min="41" max="41" width="12.28125" style="0" bestFit="1" customWidth="1"/>
    <col min="42" max="42" width="11.140625" style="0" bestFit="1" customWidth="1"/>
  </cols>
  <sheetData>
    <row r="1" spans="1:18" ht="12.75">
      <c r="A1" s="42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43"/>
      <c r="Q1" s="43"/>
      <c r="R1" s="43"/>
    </row>
    <row r="2" ht="12.75">
      <c r="Y2" s="6">
        <v>226709693</v>
      </c>
    </row>
    <row r="3" spans="1:42" ht="12.75">
      <c r="A3" s="3" t="s">
        <v>0</v>
      </c>
      <c r="B3" s="3">
        <v>1939</v>
      </c>
      <c r="C3" s="3">
        <v>1940</v>
      </c>
      <c r="D3" s="7">
        <v>1941</v>
      </c>
      <c r="E3" s="7">
        <v>1942</v>
      </c>
      <c r="F3" s="7">
        <v>1943</v>
      </c>
      <c r="G3" s="7">
        <v>1944</v>
      </c>
      <c r="H3" s="7">
        <v>1945</v>
      </c>
      <c r="I3" s="7">
        <v>1946</v>
      </c>
      <c r="J3" s="7">
        <v>1947</v>
      </c>
      <c r="K3" s="7">
        <v>1948</v>
      </c>
      <c r="L3" s="7">
        <v>1949</v>
      </c>
      <c r="M3">
        <v>1950</v>
      </c>
      <c r="N3">
        <v>1951</v>
      </c>
      <c r="O3">
        <v>1952</v>
      </c>
      <c r="P3">
        <v>1953</v>
      </c>
      <c r="Q3">
        <v>1954</v>
      </c>
      <c r="R3">
        <v>1955</v>
      </c>
      <c r="S3">
        <v>1956</v>
      </c>
      <c r="T3">
        <v>1957</v>
      </c>
      <c r="U3">
        <v>1958</v>
      </c>
      <c r="V3">
        <v>1959</v>
      </c>
      <c r="W3">
        <v>1960</v>
      </c>
      <c r="X3">
        <v>1961</v>
      </c>
      <c r="Y3">
        <v>1962</v>
      </c>
      <c r="Z3">
        <v>1963</v>
      </c>
      <c r="AA3">
        <v>1964</v>
      </c>
      <c r="AB3">
        <v>1965</v>
      </c>
      <c r="AC3">
        <v>1966</v>
      </c>
      <c r="AD3">
        <v>1967</v>
      </c>
      <c r="AE3">
        <v>1968</v>
      </c>
      <c r="AF3">
        <v>1969</v>
      </c>
      <c r="AG3">
        <v>1970</v>
      </c>
      <c r="AH3">
        <v>1971</v>
      </c>
      <c r="AI3">
        <v>1972</v>
      </c>
      <c r="AJ3">
        <v>1973</v>
      </c>
      <c r="AK3">
        <v>1974</v>
      </c>
      <c r="AL3">
        <v>1975</v>
      </c>
      <c r="AM3">
        <v>1976</v>
      </c>
      <c r="AN3">
        <v>1977</v>
      </c>
      <c r="AO3">
        <v>1978</v>
      </c>
      <c r="AP3">
        <v>1979</v>
      </c>
    </row>
    <row r="4" spans="1:41" ht="12.75">
      <c r="A4" t="s">
        <v>16</v>
      </c>
      <c r="E4" s="6">
        <v>179867280</v>
      </c>
      <c r="F4" s="6">
        <v>224515240</v>
      </c>
      <c r="G4" s="6">
        <v>226709693</v>
      </c>
      <c r="H4" s="6">
        <v>228946936</v>
      </c>
      <c r="I4" s="6">
        <v>201180111</v>
      </c>
      <c r="J4" s="6">
        <v>231478568</v>
      </c>
      <c r="K4" s="6">
        <v>254082710</v>
      </c>
      <c r="L4" s="6">
        <v>238021260</v>
      </c>
      <c r="M4">
        <v>255421646</v>
      </c>
      <c r="N4">
        <v>285409542</v>
      </c>
      <c r="O4">
        <v>269465584</v>
      </c>
      <c r="P4">
        <v>259860191</v>
      </c>
      <c r="Q4">
        <v>237744639</v>
      </c>
      <c r="R4">
        <v>245498210</v>
      </c>
      <c r="S4">
        <v>253860566</v>
      </c>
      <c r="T4">
        <v>254027186</v>
      </c>
      <c r="U4">
        <v>244262808</v>
      </c>
      <c r="V4">
        <v>242041825</v>
      </c>
      <c r="W4">
        <v>230362902</v>
      </c>
      <c r="X4">
        <v>221832116</v>
      </c>
      <c r="Y4">
        <v>227664109</v>
      </c>
      <c r="Z4">
        <v>223147893</v>
      </c>
      <c r="AA4">
        <v>228238302</v>
      </c>
      <c r="AB4">
        <v>241360870</v>
      </c>
      <c r="AC4">
        <v>259216976</v>
      </c>
      <c r="AD4">
        <v>256386737</v>
      </c>
      <c r="AE4">
        <v>268675243</v>
      </c>
      <c r="AF4">
        <v>269108190</v>
      </c>
      <c r="AG4">
        <v>277540108</v>
      </c>
      <c r="AH4">
        <v>295751045</v>
      </c>
      <c r="AI4">
        <v>312531667</v>
      </c>
      <c r="AJ4">
        <v>355390276</v>
      </c>
      <c r="AK4">
        <v>394676000</v>
      </c>
      <c r="AL4">
        <v>381092000</v>
      </c>
      <c r="AM4">
        <v>449806000</v>
      </c>
      <c r="AN4">
        <v>458663000</v>
      </c>
      <c r="AO4">
        <v>450652000</v>
      </c>
    </row>
    <row r="5" spans="1:25" ht="12.75">
      <c r="A5" t="s">
        <v>90</v>
      </c>
      <c r="E5" s="22"/>
      <c r="F5" s="22"/>
      <c r="G5" s="22">
        <f>100</f>
        <v>100</v>
      </c>
      <c r="H5" s="22">
        <f>H4/$G$4*100</f>
        <v>100.98683164817305</v>
      </c>
      <c r="I5" s="22">
        <f aca="true" t="shared" si="0" ref="I5:Y5">I4/$G$4*100</f>
        <v>88.7390866873963</v>
      </c>
      <c r="J5" s="22">
        <f t="shared" si="0"/>
        <v>102.1035161474106</v>
      </c>
      <c r="K5" s="22">
        <f t="shared" si="0"/>
        <v>112.0740391104495</v>
      </c>
      <c r="L5" s="22">
        <f t="shared" si="0"/>
        <v>104.98945009819232</v>
      </c>
      <c r="M5" s="22">
        <f t="shared" si="0"/>
        <v>112.66463406132353</v>
      </c>
      <c r="N5" s="22">
        <f t="shared" si="0"/>
        <v>125.89207731845855</v>
      </c>
      <c r="O5" s="22">
        <f t="shared" si="0"/>
        <v>118.85931317458049</v>
      </c>
      <c r="P5" s="22">
        <f t="shared" si="0"/>
        <v>114.622444043449</v>
      </c>
      <c r="Q5" s="22">
        <f t="shared" si="0"/>
        <v>104.86743458295804</v>
      </c>
      <c r="R5" s="22">
        <f t="shared" si="0"/>
        <v>108.28747847142115</v>
      </c>
      <c r="S5" s="22">
        <f t="shared" si="0"/>
        <v>111.97605300449152</v>
      </c>
      <c r="T5" s="22">
        <f t="shared" si="0"/>
        <v>112.04954787707291</v>
      </c>
      <c r="U5" s="22">
        <f t="shared" si="0"/>
        <v>107.74255161644103</v>
      </c>
      <c r="V5" s="22">
        <f t="shared" si="0"/>
        <v>106.76289213624403</v>
      </c>
      <c r="W5" s="22">
        <f t="shared" si="0"/>
        <v>101.61140397292144</v>
      </c>
      <c r="X5" s="22">
        <f t="shared" si="0"/>
        <v>97.84853618940765</v>
      </c>
      <c r="Y5" s="22">
        <f t="shared" si="0"/>
        <v>100.42098596992939</v>
      </c>
    </row>
    <row r="6" spans="1:41" ht="12.75">
      <c r="A6" t="s">
        <v>17</v>
      </c>
      <c r="E6" s="6">
        <v>115963264</v>
      </c>
      <c r="F6" s="6">
        <v>145735801</v>
      </c>
      <c r="G6" s="6">
        <v>160585506</v>
      </c>
      <c r="H6" s="6">
        <v>186859417</v>
      </c>
      <c r="I6" s="6">
        <v>171823263</v>
      </c>
      <c r="J6" s="6">
        <v>186135168</v>
      </c>
      <c r="K6" s="6">
        <v>210276587</v>
      </c>
      <c r="L6" s="6">
        <v>202111827</v>
      </c>
      <c r="M6">
        <v>199650956</v>
      </c>
      <c r="N6">
        <v>219455141</v>
      </c>
      <c r="O6">
        <v>222122738</v>
      </c>
      <c r="P6">
        <v>218183759</v>
      </c>
      <c r="Q6">
        <v>199410604</v>
      </c>
      <c r="R6">
        <v>204641342</v>
      </c>
      <c r="S6">
        <v>210746299</v>
      </c>
      <c r="T6">
        <v>208178811</v>
      </c>
      <c r="U6">
        <v>199411847</v>
      </c>
      <c r="V6">
        <v>198851581</v>
      </c>
      <c r="W6">
        <v>187929803</v>
      </c>
      <c r="X6">
        <v>175883563</v>
      </c>
      <c r="Y6">
        <v>180984293</v>
      </c>
      <c r="Z6">
        <v>177182235</v>
      </c>
      <c r="AA6">
        <v>184768170</v>
      </c>
      <c r="AB6">
        <v>191677003</v>
      </c>
      <c r="AC6">
        <v>205886312</v>
      </c>
      <c r="AD6">
        <v>204185303</v>
      </c>
      <c r="AE6">
        <v>219545067</v>
      </c>
      <c r="AF6">
        <v>220431170</v>
      </c>
      <c r="AG6">
        <v>237411328</v>
      </c>
      <c r="AH6">
        <v>243112185</v>
      </c>
      <c r="AI6">
        <v>365410061</v>
      </c>
      <c r="AJ6">
        <v>285520846</v>
      </c>
      <c r="AK6">
        <v>394915000</v>
      </c>
      <c r="AL6">
        <v>410918000</v>
      </c>
      <c r="AM6">
        <v>466108000</v>
      </c>
      <c r="AN6">
        <v>508582000</v>
      </c>
      <c r="AO6">
        <v>540105000</v>
      </c>
    </row>
    <row r="7" spans="1:25" ht="12.75">
      <c r="A7" t="s">
        <v>91</v>
      </c>
      <c r="E7" s="22"/>
      <c r="F7" s="22"/>
      <c r="G7" s="22">
        <v>100</v>
      </c>
      <c r="H7" s="22">
        <f>H6/$G$6*100</f>
        <v>116.36132155040193</v>
      </c>
      <c r="I7" s="22">
        <f aca="true" t="shared" si="1" ref="I7:Y7">I6/$G$6*100</f>
        <v>106.99798959440336</v>
      </c>
      <c r="J7" s="22">
        <f t="shared" si="1"/>
        <v>115.91031633950826</v>
      </c>
      <c r="K7" s="22">
        <f t="shared" si="1"/>
        <v>130.94368989938607</v>
      </c>
      <c r="L7" s="22">
        <f t="shared" si="1"/>
        <v>125.85932070357582</v>
      </c>
      <c r="M7" s="22">
        <f t="shared" si="1"/>
        <v>124.32688414606983</v>
      </c>
      <c r="N7" s="22">
        <f t="shared" si="1"/>
        <v>136.65937011774898</v>
      </c>
      <c r="O7" s="22">
        <f t="shared" si="1"/>
        <v>138.3205393393349</v>
      </c>
      <c r="P7" s="22">
        <f t="shared" si="1"/>
        <v>135.8676535851249</v>
      </c>
      <c r="Q7" s="22">
        <f t="shared" si="1"/>
        <v>124.17721185870909</v>
      </c>
      <c r="R7" s="22">
        <f t="shared" si="1"/>
        <v>127.43450333556254</v>
      </c>
      <c r="S7" s="22">
        <f t="shared" si="1"/>
        <v>131.2361895226086</v>
      </c>
      <c r="T7" s="22">
        <f t="shared" si="1"/>
        <v>129.63736029825753</v>
      </c>
      <c r="U7" s="22">
        <f t="shared" si="1"/>
        <v>124.17798590116844</v>
      </c>
      <c r="V7" s="22">
        <f t="shared" si="1"/>
        <v>123.8290963818366</v>
      </c>
      <c r="W7" s="22">
        <f t="shared" si="1"/>
        <v>117.0278736114578</v>
      </c>
      <c r="X7" s="22">
        <f t="shared" si="1"/>
        <v>109.52642450807484</v>
      </c>
      <c r="Y7" s="22">
        <f t="shared" si="1"/>
        <v>112.70275724634824</v>
      </c>
    </row>
    <row r="8" spans="1:25" ht="12.75">
      <c r="A8" t="s">
        <v>92</v>
      </c>
      <c r="E8" s="22"/>
      <c r="F8" s="22"/>
      <c r="G8" s="22">
        <f>G48/$G$48*100</f>
        <v>100</v>
      </c>
      <c r="H8" s="22">
        <f>H48/$G$48*100</f>
        <v>102.9808661310209</v>
      </c>
      <c r="I8" s="22">
        <f>I48/$G$48*100</f>
        <v>107.54530612655093</v>
      </c>
      <c r="J8" s="22">
        <f aca="true" t="shared" si="2" ref="J8:Y8">J48/$G$48*100</f>
        <v>119.65986984933804</v>
      </c>
      <c r="K8" s="22">
        <f t="shared" si="2"/>
        <v>146.73636129894726</v>
      </c>
      <c r="L8" s="22">
        <f t="shared" si="2"/>
        <v>138.80324893333085</v>
      </c>
      <c r="M8" s="22">
        <f t="shared" si="2"/>
        <v>142.17010014866244</v>
      </c>
      <c r="N8" s="22">
        <f t="shared" si="2"/>
        <v>152.8314491887674</v>
      </c>
      <c r="O8" s="22">
        <f t="shared" si="2"/>
        <v>146.49934562379568</v>
      </c>
      <c r="P8" s="22">
        <f t="shared" si="2"/>
        <v>138.85686802477474</v>
      </c>
      <c r="Q8" s="22">
        <f t="shared" si="2"/>
        <v>128.47849467465235</v>
      </c>
      <c r="R8" s="22">
        <f t="shared" si="2"/>
        <v>129.1148429663261</v>
      </c>
      <c r="S8" s="22">
        <f t="shared" si="2"/>
        <v>139.59631245574025</v>
      </c>
      <c r="T8" s="22">
        <f t="shared" si="2"/>
        <v>143.358766279824</v>
      </c>
      <c r="U8" s="22">
        <f t="shared" si="2"/>
        <v>136.90556170339607</v>
      </c>
      <c r="V8" s="22">
        <f t="shared" si="2"/>
        <v>142.1576115192682</v>
      </c>
      <c r="W8" s="22">
        <f t="shared" si="2"/>
        <v>136.46182499143455</v>
      </c>
      <c r="X8" s="22">
        <f t="shared" si="2"/>
        <v>127.15479219862735</v>
      </c>
      <c r="Y8" s="22">
        <f t="shared" si="2"/>
        <v>129.72917063228832</v>
      </c>
    </row>
    <row r="9" spans="1:25" ht="12.75">
      <c r="A9" t="s">
        <v>43</v>
      </c>
      <c r="E9" s="6">
        <v>34504654</v>
      </c>
      <c r="F9" s="6">
        <v>50660954</v>
      </c>
      <c r="G9" s="6">
        <v>32709519</v>
      </c>
      <c r="H9" s="6">
        <v>26582330</v>
      </c>
      <c r="I9" s="6">
        <v>13346598</v>
      </c>
      <c r="J9" s="6">
        <f>J4-J6</f>
        <v>45343400</v>
      </c>
      <c r="K9" s="6">
        <f aca="true" t="shared" si="3" ref="K9:X9">K4-K6</f>
        <v>43806123</v>
      </c>
      <c r="L9" s="6">
        <f t="shared" si="3"/>
        <v>35909433</v>
      </c>
      <c r="M9" s="6">
        <f t="shared" si="3"/>
        <v>55770690</v>
      </c>
      <c r="N9" s="6">
        <f t="shared" si="3"/>
        <v>65954401</v>
      </c>
      <c r="O9" s="6">
        <f t="shared" si="3"/>
        <v>47342846</v>
      </c>
      <c r="P9" s="6">
        <f t="shared" si="3"/>
        <v>41676432</v>
      </c>
      <c r="Q9" s="6">
        <f t="shared" si="3"/>
        <v>38334035</v>
      </c>
      <c r="R9" s="6">
        <f t="shared" si="3"/>
        <v>40856868</v>
      </c>
      <c r="S9" s="6">
        <f t="shared" si="3"/>
        <v>43114267</v>
      </c>
      <c r="T9" s="6">
        <f t="shared" si="3"/>
        <v>45848375</v>
      </c>
      <c r="U9" s="6">
        <f t="shared" si="3"/>
        <v>44850961</v>
      </c>
      <c r="V9" s="6">
        <f t="shared" si="3"/>
        <v>43190244</v>
      </c>
      <c r="W9" s="6">
        <f t="shared" si="3"/>
        <v>42433099</v>
      </c>
      <c r="X9" s="6">
        <f t="shared" si="3"/>
        <v>45948553</v>
      </c>
      <c r="Y9" s="6">
        <v>160585506</v>
      </c>
    </row>
    <row r="10" spans="1:25" ht="12.75">
      <c r="A10" t="s">
        <v>89</v>
      </c>
      <c r="E10" s="6">
        <f>E4/E23</f>
        <v>3.69198043621038</v>
      </c>
      <c r="F10" s="6">
        <f aca="true" t="shared" si="4" ref="F10:Y10">F4/F23</f>
        <v>4.171260904227105</v>
      </c>
      <c r="G10" s="6">
        <f t="shared" si="4"/>
        <v>4.218282153760175</v>
      </c>
      <c r="H10" s="6">
        <f t="shared" si="4"/>
        <v>4.375379692772187</v>
      </c>
      <c r="I10" s="6">
        <f t="shared" si="4"/>
        <v>4.004207122047083</v>
      </c>
      <c r="J10" s="6">
        <f t="shared" si="4"/>
        <v>4.193142770710314</v>
      </c>
      <c r="K10" s="6">
        <f t="shared" si="4"/>
        <v>4.771409339626188</v>
      </c>
      <c r="L10" s="6">
        <f t="shared" si="4"/>
        <v>5.146860103279174</v>
      </c>
      <c r="M10" s="6">
        <f t="shared" si="4"/>
        <v>5.0916404860115145</v>
      </c>
      <c r="N10" s="6">
        <f t="shared" si="4"/>
        <v>5.516164333681609</v>
      </c>
      <c r="O10" s="6">
        <f t="shared" si="4"/>
        <v>5.441321023432594</v>
      </c>
      <c r="P10" s="6">
        <f t="shared" si="4"/>
        <v>5.551264704106123</v>
      </c>
      <c r="Q10" s="6">
        <f t="shared" si="4"/>
        <v>5.513147489424142</v>
      </c>
      <c r="R10" s="6">
        <f t="shared" si="4"/>
        <v>5.397811968322638</v>
      </c>
      <c r="S10" s="6">
        <f t="shared" si="4"/>
        <v>5.597657685583846</v>
      </c>
      <c r="T10" s="6">
        <f t="shared" si="4"/>
        <v>5.914269682276829</v>
      </c>
      <c r="U10" s="6">
        <f t="shared" si="4"/>
        <v>5.920097345775978</v>
      </c>
      <c r="V10" s="6">
        <f t="shared" si="4"/>
        <v>5.877260612097849</v>
      </c>
      <c r="W10" s="6">
        <f t="shared" si="4"/>
        <v>5.884455136486552</v>
      </c>
      <c r="X10" s="6">
        <f t="shared" si="4"/>
        <v>5.947197869184611</v>
      </c>
      <c r="Y10" s="6">
        <f t="shared" si="4"/>
        <v>5.761736599496886</v>
      </c>
    </row>
    <row r="11" spans="5:25" ht="12.75">
      <c r="E11" s="6"/>
      <c r="F11" s="6"/>
      <c r="G11" s="6"/>
      <c r="H11" s="6"/>
      <c r="I11" s="6"/>
      <c r="Y11" s="6"/>
    </row>
    <row r="12" spans="1:12" ht="12.75">
      <c r="A12" t="s">
        <v>44</v>
      </c>
      <c r="E12" s="6">
        <v>12174331</v>
      </c>
      <c r="F12" s="6">
        <v>29413623</v>
      </c>
      <c r="G12" s="6">
        <v>18676210</v>
      </c>
      <c r="H12" s="6">
        <v>14077911</v>
      </c>
      <c r="I12" s="6">
        <v>3176068</v>
      </c>
      <c r="J12" s="6">
        <v>6655273</v>
      </c>
      <c r="K12" s="6">
        <v>12844684</v>
      </c>
      <c r="L12" s="6">
        <v>8898944</v>
      </c>
    </row>
    <row r="13" spans="1:41" ht="12.75">
      <c r="A13" t="s">
        <v>18</v>
      </c>
      <c r="F13" s="4">
        <f aca="true" t="shared" si="5" ref="F13:L13">F6/F4</f>
        <v>0.6491131782412632</v>
      </c>
      <c r="G13" s="4">
        <f t="shared" si="5"/>
        <v>0.7083310107962609</v>
      </c>
      <c r="H13" s="4">
        <f t="shared" si="5"/>
        <v>0.8161691100334272</v>
      </c>
      <c r="I13" s="4">
        <f t="shared" si="5"/>
        <v>0.8540767879385452</v>
      </c>
      <c r="J13" s="4">
        <f t="shared" si="5"/>
        <v>0.8041140465323771</v>
      </c>
      <c r="K13" s="4">
        <f t="shared" si="5"/>
        <v>0.8275910903185817</v>
      </c>
      <c r="L13" s="4">
        <f t="shared" si="5"/>
        <v>0.849133505973374</v>
      </c>
      <c r="M13" s="4">
        <f>M6/M4</f>
        <v>0.7816524524315375</v>
      </c>
      <c r="N13" s="4">
        <f aca="true" t="shared" si="6" ref="N13:AF13">N6/N4</f>
        <v>0.768913118538973</v>
      </c>
      <c r="O13" s="4">
        <f t="shared" si="6"/>
        <v>0.8243083762414721</v>
      </c>
      <c r="P13" s="4">
        <f t="shared" si="6"/>
        <v>0.8396197900123917</v>
      </c>
      <c r="Q13" s="4">
        <f t="shared" si="6"/>
        <v>0.8387596239341489</v>
      </c>
      <c r="R13" s="4">
        <f t="shared" si="6"/>
        <v>0.8335756989837115</v>
      </c>
      <c r="S13" s="4">
        <f t="shared" si="6"/>
        <v>0.8301655602548369</v>
      </c>
      <c r="T13" s="4">
        <f t="shared" si="6"/>
        <v>0.8195139043110133</v>
      </c>
      <c r="U13" s="4">
        <f t="shared" si="6"/>
        <v>0.8163823573173694</v>
      </c>
      <c r="V13" s="4">
        <f t="shared" si="6"/>
        <v>0.8215587574585508</v>
      </c>
      <c r="W13" s="4">
        <f t="shared" si="6"/>
        <v>0.8157989041134757</v>
      </c>
      <c r="X13" s="4">
        <f t="shared" si="6"/>
        <v>0.7928678956477159</v>
      </c>
      <c r="Y13" s="4">
        <f t="shared" si="6"/>
        <v>0.7949619015266038</v>
      </c>
      <c r="Z13" s="4">
        <f t="shared" si="6"/>
        <v>0.7940125833946369</v>
      </c>
      <c r="AA13" s="4">
        <f t="shared" si="6"/>
        <v>0.8095405914823184</v>
      </c>
      <c r="AB13" s="4">
        <f t="shared" si="6"/>
        <v>0.7941511107413559</v>
      </c>
      <c r="AC13" s="4">
        <f t="shared" si="6"/>
        <v>0.7942624560206273</v>
      </c>
      <c r="AD13" s="4">
        <f t="shared" si="6"/>
        <v>0.7963957316559631</v>
      </c>
      <c r="AE13" s="4">
        <f t="shared" si="6"/>
        <v>0.8171391772036101</v>
      </c>
      <c r="AF13" s="4">
        <f t="shared" si="6"/>
        <v>0.8191172851335368</v>
      </c>
      <c r="AG13" s="4">
        <f aca="true" t="shared" si="7" ref="AG13:AO13">AG6/AG4</f>
        <v>0.8554126814708886</v>
      </c>
      <c r="AH13" s="4">
        <f t="shared" si="7"/>
        <v>0.8220163178121653</v>
      </c>
      <c r="AI13" s="4">
        <f t="shared" si="7"/>
        <v>1.1691937156563401</v>
      </c>
      <c r="AJ13" s="4">
        <f t="shared" si="7"/>
        <v>0.8034008392508747</v>
      </c>
      <c r="AK13" s="4">
        <f t="shared" si="7"/>
        <v>1.0006055600036485</v>
      </c>
      <c r="AL13" s="4">
        <f t="shared" si="7"/>
        <v>1.0782645660365475</v>
      </c>
      <c r="AM13" s="4">
        <f t="shared" si="7"/>
        <v>1.0362422911210611</v>
      </c>
      <c r="AN13" s="4">
        <f t="shared" si="7"/>
        <v>1.1088358991241936</v>
      </c>
      <c r="AO13" s="4">
        <f t="shared" si="7"/>
        <v>1.1984968445718647</v>
      </c>
    </row>
    <row r="14" spans="1:41" ht="12.75">
      <c r="A14" t="s">
        <v>45</v>
      </c>
      <c r="E14" s="8">
        <f>E12/E4</f>
        <v>0.06768507868690737</v>
      </c>
      <c r="F14" s="8">
        <f>F12/F4</f>
        <v>0.13100947178463251</v>
      </c>
      <c r="G14" s="8">
        <f>G12/G4</f>
        <v>0.08237940668906468</v>
      </c>
      <c r="H14" s="8">
        <f>H12/H4</f>
        <v>0.061489842344952805</v>
      </c>
      <c r="I14" s="8">
        <f>I12/I4</f>
        <v>0.015787186835780204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2" ht="12.75">
      <c r="A15" t="s">
        <v>82</v>
      </c>
      <c r="E15" s="8"/>
      <c r="F15" s="8"/>
      <c r="G15" s="8">
        <v>1</v>
      </c>
      <c r="H15" s="8">
        <v>1.06</v>
      </c>
      <c r="I15" s="8">
        <v>1.02</v>
      </c>
      <c r="J15" s="8">
        <v>1.02</v>
      </c>
      <c r="K15" s="8">
        <v>1.08</v>
      </c>
      <c r="L15" s="8">
        <v>1.14</v>
      </c>
      <c r="M15" s="8">
        <v>1.08</v>
      </c>
      <c r="N15" s="4">
        <v>0.99</v>
      </c>
      <c r="O15" s="4">
        <v>1.01</v>
      </c>
      <c r="P15" s="4">
        <v>1.08</v>
      </c>
      <c r="Q15" s="4">
        <v>1.02</v>
      </c>
      <c r="R15" s="4">
        <v>1.01</v>
      </c>
      <c r="S15" s="4">
        <v>1</v>
      </c>
      <c r="T15" s="4">
        <v>1</v>
      </c>
      <c r="U15" s="4">
        <v>1.01</v>
      </c>
      <c r="V15" s="4">
        <v>1.04</v>
      </c>
      <c r="W15" s="4">
        <v>1.03</v>
      </c>
      <c r="X15" s="4">
        <v>1.01</v>
      </c>
      <c r="Y15" s="4">
        <v>1.02</v>
      </c>
      <c r="Z15" s="4">
        <v>1.01</v>
      </c>
      <c r="AA15" s="4">
        <f>AVERAGE(N15:Z15)</f>
        <v>1.0176923076923077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t="s">
        <v>84</v>
      </c>
      <c r="E16" s="8"/>
      <c r="F16" s="8"/>
      <c r="G16" s="8">
        <v>1</v>
      </c>
      <c r="H16" s="8">
        <f>H15+F16</f>
        <v>1.06</v>
      </c>
      <c r="I16" s="8">
        <f aca="true" t="shared" si="8" ref="I16:Z16">((I15-100%)+(H16-100%))+100%</f>
        <v>1.08</v>
      </c>
      <c r="J16" s="8">
        <f t="shared" si="8"/>
        <v>1.1</v>
      </c>
      <c r="K16" s="8">
        <f t="shared" si="8"/>
        <v>1.1800000000000002</v>
      </c>
      <c r="L16" s="8">
        <f t="shared" si="8"/>
        <v>1.32</v>
      </c>
      <c r="M16" s="8">
        <f t="shared" si="8"/>
        <v>1.4000000000000001</v>
      </c>
      <c r="N16" s="8">
        <f t="shared" si="8"/>
        <v>1.3900000000000001</v>
      </c>
      <c r="O16" s="8">
        <f t="shared" si="8"/>
        <v>1.4000000000000001</v>
      </c>
      <c r="P16" s="8">
        <f t="shared" si="8"/>
        <v>1.4800000000000002</v>
      </c>
      <c r="Q16" s="8">
        <f t="shared" si="8"/>
        <v>1.5000000000000002</v>
      </c>
      <c r="R16" s="8">
        <f t="shared" si="8"/>
        <v>1.5100000000000002</v>
      </c>
      <c r="S16" s="8">
        <f t="shared" si="8"/>
        <v>1.5100000000000002</v>
      </c>
      <c r="T16" s="8">
        <f t="shared" si="8"/>
        <v>1.5100000000000002</v>
      </c>
      <c r="U16" s="8">
        <f t="shared" si="8"/>
        <v>1.5200000000000002</v>
      </c>
      <c r="V16" s="8">
        <f t="shared" si="8"/>
        <v>1.5600000000000003</v>
      </c>
      <c r="W16" s="8">
        <f t="shared" si="8"/>
        <v>1.5900000000000003</v>
      </c>
      <c r="X16" s="8">
        <f t="shared" si="8"/>
        <v>1.6000000000000003</v>
      </c>
      <c r="Y16" s="8">
        <f t="shared" si="8"/>
        <v>1.6200000000000003</v>
      </c>
      <c r="Z16" s="8">
        <f t="shared" si="8"/>
        <v>1.6300000000000003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1" ht="12.75">
      <c r="A17" t="s">
        <v>83</v>
      </c>
      <c r="E17" s="8"/>
      <c r="F17" s="8"/>
      <c r="G17" s="8">
        <f>H15*0.5</f>
        <v>0.53</v>
      </c>
      <c r="H17" s="8">
        <f aca="true" t="shared" si="9" ref="H17:Y17">I15*0.5</f>
        <v>0.51</v>
      </c>
      <c r="I17" s="8">
        <f t="shared" si="9"/>
        <v>0.51</v>
      </c>
      <c r="J17" s="8">
        <f t="shared" si="9"/>
        <v>0.54</v>
      </c>
      <c r="K17" s="8">
        <f t="shared" si="9"/>
        <v>0.57</v>
      </c>
      <c r="L17" s="8">
        <f t="shared" si="9"/>
        <v>0.54</v>
      </c>
      <c r="M17" s="8">
        <f t="shared" si="9"/>
        <v>0.495</v>
      </c>
      <c r="N17" s="8">
        <f t="shared" si="9"/>
        <v>0.505</v>
      </c>
      <c r="O17" s="8">
        <f t="shared" si="9"/>
        <v>0.54</v>
      </c>
      <c r="P17" s="8">
        <f t="shared" si="9"/>
        <v>0.51</v>
      </c>
      <c r="Q17" s="8">
        <f t="shared" si="9"/>
        <v>0.505</v>
      </c>
      <c r="R17" s="8">
        <f t="shared" si="9"/>
        <v>0.5</v>
      </c>
      <c r="S17" s="8">
        <f t="shared" si="9"/>
        <v>0.5</v>
      </c>
      <c r="T17" s="8">
        <f t="shared" si="9"/>
        <v>0.505</v>
      </c>
      <c r="U17" s="8">
        <f t="shared" si="9"/>
        <v>0.52</v>
      </c>
      <c r="V17" s="8">
        <f t="shared" si="9"/>
        <v>0.515</v>
      </c>
      <c r="W17" s="8">
        <f t="shared" si="9"/>
        <v>0.505</v>
      </c>
      <c r="X17" s="8">
        <f t="shared" si="9"/>
        <v>0.51</v>
      </c>
      <c r="Y17" s="8">
        <f t="shared" si="9"/>
        <v>0.505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117" ht="12.75">
      <c r="A18" t="s">
        <v>46</v>
      </c>
      <c r="E18" s="8"/>
      <c r="F18" s="8"/>
      <c r="G18" s="8"/>
      <c r="H18" s="8"/>
      <c r="I18" s="5">
        <v>1494191</v>
      </c>
      <c r="J18" s="5">
        <v>16125841</v>
      </c>
      <c r="K18" s="5">
        <v>1546264</v>
      </c>
      <c r="L18" s="5">
        <v>1398478</v>
      </c>
      <c r="M18" s="5">
        <v>1492608</v>
      </c>
      <c r="N18" s="5">
        <v>1452456</v>
      </c>
      <c r="O18" s="5">
        <v>1451363</v>
      </c>
      <c r="P18" s="5">
        <v>1297477</v>
      </c>
      <c r="Q18" s="5">
        <v>1281450</v>
      </c>
      <c r="R18" s="5">
        <v>1254945</v>
      </c>
      <c r="S18" s="5">
        <v>1338653</v>
      </c>
      <c r="T18" s="5">
        <v>1252508</v>
      </c>
      <c r="U18" s="5">
        <v>1169539</v>
      </c>
      <c r="V18" s="5">
        <v>1183217</v>
      </c>
      <c r="W18" s="5">
        <v>1107237</v>
      </c>
      <c r="X18" s="5">
        <v>1057675</v>
      </c>
      <c r="Y18" s="5">
        <v>1097225</v>
      </c>
      <c r="Z18" s="5">
        <v>1068753</v>
      </c>
      <c r="AA18" s="5">
        <v>1077581</v>
      </c>
      <c r="AB18" s="5">
        <v>1101009</v>
      </c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</row>
    <row r="19" spans="1:117" ht="12.75">
      <c r="A19" t="s">
        <v>139</v>
      </c>
      <c r="B19" s="5"/>
      <c r="C19" s="5"/>
      <c r="D19" s="5">
        <v>1178183</v>
      </c>
      <c r="E19" s="5">
        <v>1467800</v>
      </c>
      <c r="F19" s="5">
        <v>1690268</v>
      </c>
      <c r="G19" s="5">
        <v>1706324</v>
      </c>
      <c r="H19" s="5">
        <v>1692867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</row>
    <row r="20" spans="1:41" ht="12.75">
      <c r="A20" t="s">
        <v>47</v>
      </c>
      <c r="D20" s="5">
        <v>10097196000</v>
      </c>
      <c r="E20" s="8"/>
      <c r="F20" s="8"/>
      <c r="G20" s="8"/>
      <c r="H20" s="5">
        <v>18182060000</v>
      </c>
      <c r="I20" s="5">
        <v>15744422</v>
      </c>
      <c r="M20" s="4"/>
      <c r="N20" s="5">
        <v>16732324</v>
      </c>
      <c r="O20" s="5">
        <v>16005310</v>
      </c>
      <c r="P20" s="4"/>
      <c r="Q20" s="4"/>
      <c r="R20" s="4"/>
      <c r="S20" s="4"/>
      <c r="T20" s="4"/>
      <c r="U20" s="4"/>
      <c r="V20" s="5">
        <v>14121940000</v>
      </c>
      <c r="W20" s="5">
        <v>13604642000</v>
      </c>
      <c r="X20" s="5">
        <v>13223111</v>
      </c>
      <c r="Y20" s="5">
        <v>14139668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194" ht="12.75">
      <c r="A21" t="s">
        <v>66</v>
      </c>
      <c r="B21">
        <v>9234307122</v>
      </c>
      <c r="C21">
        <v>10097196568</v>
      </c>
      <c r="D21" s="5">
        <v>12804595331</v>
      </c>
      <c r="E21" s="5">
        <v>15908488274</v>
      </c>
      <c r="F21" s="5">
        <v>18209707441</v>
      </c>
      <c r="G21" s="5">
        <v>18323916893</v>
      </c>
      <c r="H21" s="5">
        <v>18182059</v>
      </c>
      <c r="I21" s="5">
        <v>15744421</v>
      </c>
      <c r="J21" s="5">
        <v>16958235</v>
      </c>
      <c r="K21" s="5">
        <v>16345256</v>
      </c>
      <c r="L21" s="5">
        <v>14774758</v>
      </c>
      <c r="M21" s="5">
        <v>16258839</v>
      </c>
      <c r="N21" s="5">
        <v>16732323</v>
      </c>
      <c r="O21" s="5">
        <v>16005309</v>
      </c>
      <c r="P21" s="5">
        <v>15561748</v>
      </c>
      <c r="Q21" s="5">
        <v>14178678</v>
      </c>
      <c r="R21" s="5">
        <v>15561748</v>
      </c>
      <c r="S21" s="5">
        <v>15612344</v>
      </c>
      <c r="T21" s="5">
        <v>14614118</v>
      </c>
      <c r="U21" s="5">
        <v>14270955</v>
      </c>
      <c r="V21" s="5">
        <v>14502976</v>
      </c>
      <c r="W21" s="5">
        <v>14121940</v>
      </c>
      <c r="X21" s="5">
        <v>13437356</v>
      </c>
      <c r="Y21" s="5">
        <v>14325591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</row>
    <row r="22" spans="1:194" ht="12.75">
      <c r="A22" t="s">
        <v>67</v>
      </c>
      <c r="B22">
        <v>9234307</v>
      </c>
      <c r="C22">
        <v>10097196</v>
      </c>
      <c r="D22" s="5">
        <v>12804595</v>
      </c>
      <c r="E22" s="5">
        <v>15908488</v>
      </c>
      <c r="F22" s="5">
        <v>18209707</v>
      </c>
      <c r="G22" s="5">
        <v>18323916</v>
      </c>
      <c r="H22" s="5">
        <f>H21/1000000</f>
        <v>18.182059</v>
      </c>
      <c r="I22" s="5">
        <f aca="true" t="shared" si="10" ref="I22:Y22">I21/1000</f>
        <v>15744.421</v>
      </c>
      <c r="J22" s="5">
        <f t="shared" si="10"/>
        <v>16958.235</v>
      </c>
      <c r="K22" s="5">
        <f t="shared" si="10"/>
        <v>16345.256</v>
      </c>
      <c r="L22" s="5">
        <f t="shared" si="10"/>
        <v>14774.758</v>
      </c>
      <c r="M22" s="5">
        <f t="shared" si="10"/>
        <v>16258.839</v>
      </c>
      <c r="N22" s="5">
        <f t="shared" si="10"/>
        <v>16732.323</v>
      </c>
      <c r="O22" s="5">
        <f t="shared" si="10"/>
        <v>16005.309</v>
      </c>
      <c r="P22" s="5">
        <f t="shared" si="10"/>
        <v>15561.748</v>
      </c>
      <c r="Q22" s="5">
        <f t="shared" si="10"/>
        <v>14178.678</v>
      </c>
      <c r="R22" s="5">
        <f t="shared" si="10"/>
        <v>15561.748</v>
      </c>
      <c r="S22" s="5">
        <f t="shared" si="10"/>
        <v>15612.344</v>
      </c>
      <c r="T22" s="5">
        <f t="shared" si="10"/>
        <v>14614.118</v>
      </c>
      <c r="U22" s="5">
        <f t="shared" si="10"/>
        <v>14270.955</v>
      </c>
      <c r="V22" s="5">
        <f t="shared" si="10"/>
        <v>14502.976</v>
      </c>
      <c r="W22" s="5">
        <f t="shared" si="10"/>
        <v>14121.94</v>
      </c>
      <c r="X22" s="5">
        <f t="shared" si="10"/>
        <v>13437.356</v>
      </c>
      <c r="Y22" s="5">
        <f t="shared" si="10"/>
        <v>14325.591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</row>
    <row r="23" spans="1:187" ht="12.75">
      <c r="A23" t="s">
        <v>60</v>
      </c>
      <c r="B23">
        <v>33841422</v>
      </c>
      <c r="C23">
        <v>35320967</v>
      </c>
      <c r="D23" s="5">
        <v>42907270</v>
      </c>
      <c r="E23" s="9">
        <v>48718373</v>
      </c>
      <c r="F23" s="9">
        <v>53824310</v>
      </c>
      <c r="G23" s="5">
        <v>53744554</v>
      </c>
      <c r="H23" s="5">
        <v>52326187</v>
      </c>
      <c r="I23" s="5">
        <v>50242184</v>
      </c>
      <c r="J23" s="5">
        <v>55204075</v>
      </c>
      <c r="K23" s="5">
        <v>53251082</v>
      </c>
      <c r="L23" s="5">
        <v>46245916</v>
      </c>
      <c r="M23" s="5">
        <v>50164902</v>
      </c>
      <c r="N23" s="5">
        <v>51740580</v>
      </c>
      <c r="O23" s="5">
        <v>49522089</v>
      </c>
      <c r="P23" s="5">
        <v>46810989</v>
      </c>
      <c r="Q23" s="5">
        <v>43123214</v>
      </c>
      <c r="R23" s="5">
        <v>45481060</v>
      </c>
      <c r="S23" s="5">
        <v>45351213</v>
      </c>
      <c r="T23" s="5">
        <v>42951573</v>
      </c>
      <c r="U23" s="5">
        <v>41259931</v>
      </c>
      <c r="V23" s="5">
        <v>41182762</v>
      </c>
      <c r="W23" s="5">
        <v>39147703</v>
      </c>
      <c r="X23" s="5">
        <v>37300275</v>
      </c>
      <c r="Y23" s="5">
        <v>39513106</v>
      </c>
      <c r="Z23" s="5">
        <v>39627042</v>
      </c>
      <c r="AA23" s="5">
        <v>40765392</v>
      </c>
      <c r="AB23" s="5">
        <v>42781557</v>
      </c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</row>
    <row r="24" spans="4:41" ht="12.75">
      <c r="D24" s="5"/>
      <c r="E24" s="8"/>
      <c r="F24" s="8"/>
      <c r="G24" s="8"/>
      <c r="H24" s="5"/>
      <c r="I24" s="5"/>
      <c r="M24" s="4"/>
      <c r="N24" s="5"/>
      <c r="O24" s="5"/>
      <c r="P24" s="4"/>
      <c r="Q24" s="4"/>
      <c r="R24" s="4"/>
      <c r="S24" s="4"/>
      <c r="T24" s="4"/>
      <c r="U24" s="4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69" ht="12.75">
      <c r="A25" t="s">
        <v>25</v>
      </c>
      <c r="E25">
        <v>27885867</v>
      </c>
      <c r="F25">
        <v>36149211</v>
      </c>
      <c r="G25" s="5">
        <v>38878167</v>
      </c>
      <c r="H25" s="5">
        <v>44931431</v>
      </c>
      <c r="I25" s="5">
        <v>33314918</v>
      </c>
      <c r="J25" s="5">
        <v>37772608</v>
      </c>
      <c r="K25" s="5">
        <v>39233214</v>
      </c>
      <c r="L25" s="5">
        <v>38107287</v>
      </c>
      <c r="M25" s="5">
        <v>33428159</v>
      </c>
      <c r="N25" s="5">
        <v>32421775</v>
      </c>
      <c r="O25" s="5">
        <v>36412957</v>
      </c>
      <c r="P25" s="5">
        <v>38233575</v>
      </c>
      <c r="Q25" s="5">
        <v>34076230</v>
      </c>
      <c r="R25" s="5">
        <v>39624284</v>
      </c>
      <c r="S25" s="5">
        <v>38162520</v>
      </c>
      <c r="T25" s="5">
        <v>35722177</v>
      </c>
      <c r="U25" s="5">
        <v>33471518</v>
      </c>
      <c r="V25" s="5">
        <v>32476543</v>
      </c>
      <c r="W25" s="5">
        <v>28663723</v>
      </c>
      <c r="X25" s="5">
        <v>25232180</v>
      </c>
      <c r="Y25" s="5">
        <v>26480999</v>
      </c>
      <c r="Z25" s="5">
        <v>24806919</v>
      </c>
      <c r="AA25" s="5">
        <v>25342940</v>
      </c>
      <c r="AB25" s="5">
        <v>26801915</v>
      </c>
      <c r="AC25" s="5">
        <v>32044579</v>
      </c>
      <c r="AD25" s="5">
        <v>28091957</v>
      </c>
      <c r="AE25" s="5">
        <v>34198761</v>
      </c>
      <c r="AF25" s="5">
        <v>39466024</v>
      </c>
      <c r="AG25" s="5">
        <v>39997879</v>
      </c>
      <c r="AH25" s="5">
        <v>42809172</v>
      </c>
      <c r="AI25" s="5">
        <v>57902000</v>
      </c>
      <c r="AJ25" s="5">
        <v>59074000</v>
      </c>
      <c r="AK25" s="5">
        <v>60841000</v>
      </c>
      <c r="AL25" s="5">
        <v>58976000</v>
      </c>
      <c r="AM25" s="5"/>
      <c r="AN25" s="5"/>
      <c r="AO25" s="5">
        <v>35918000</v>
      </c>
      <c r="AP25" s="5">
        <v>33804000</v>
      </c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2.75">
      <c r="A26" t="s">
        <v>93</v>
      </c>
      <c r="G26" s="5">
        <v>100</v>
      </c>
      <c r="H26" s="5">
        <f>H25/$G$25*100</f>
        <v>115.56982869074048</v>
      </c>
      <c r="I26" s="5">
        <f aca="true" t="shared" si="11" ref="I26:Y26">I25/$G$25*100</f>
        <v>85.69055737632898</v>
      </c>
      <c r="J26" s="5">
        <f t="shared" si="11"/>
        <v>97.15634998944266</v>
      </c>
      <c r="K26" s="5">
        <f t="shared" si="11"/>
        <v>100.91322978266955</v>
      </c>
      <c r="L26" s="5">
        <f t="shared" si="11"/>
        <v>98.01719047093964</v>
      </c>
      <c r="M26" s="5">
        <f t="shared" si="11"/>
        <v>85.98182882438876</v>
      </c>
      <c r="N26" s="5">
        <f t="shared" si="11"/>
        <v>83.39327057265842</v>
      </c>
      <c r="O26" s="5">
        <f t="shared" si="11"/>
        <v>93.6591403601924</v>
      </c>
      <c r="P26" s="5">
        <f t="shared" si="11"/>
        <v>98.34202059989093</v>
      </c>
      <c r="Q26" s="5">
        <f t="shared" si="11"/>
        <v>87.64875669164135</v>
      </c>
      <c r="R26" s="5">
        <f t="shared" si="11"/>
        <v>101.91911568258864</v>
      </c>
      <c r="S26" s="5">
        <f t="shared" si="11"/>
        <v>98.1592573538768</v>
      </c>
      <c r="T26" s="5">
        <f t="shared" si="11"/>
        <v>91.88235906286425</v>
      </c>
      <c r="U26" s="5">
        <f t="shared" si="11"/>
        <v>86.09335414398524</v>
      </c>
      <c r="V26" s="5">
        <f t="shared" si="11"/>
        <v>83.53414141155369</v>
      </c>
      <c r="W26" s="5">
        <f t="shared" si="11"/>
        <v>73.7270432528365</v>
      </c>
      <c r="X26" s="5">
        <f t="shared" si="11"/>
        <v>64.90064204930238</v>
      </c>
      <c r="Y26" s="5">
        <f t="shared" si="11"/>
        <v>68.11277651027117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2.75">
      <c r="A27" t="s">
        <v>76</v>
      </c>
      <c r="H27" s="5">
        <v>9393</v>
      </c>
      <c r="I27" s="5">
        <v>9710</v>
      </c>
      <c r="J27" s="5">
        <v>9878</v>
      </c>
      <c r="K27" s="5">
        <v>10668</v>
      </c>
      <c r="L27" s="5">
        <v>9694</v>
      </c>
      <c r="M27" s="5">
        <v>9328</v>
      </c>
      <c r="N27" s="5">
        <v>9806</v>
      </c>
      <c r="O27" s="5">
        <v>9018</v>
      </c>
      <c r="P27" s="5">
        <v>8382</v>
      </c>
      <c r="Q27" s="5">
        <v>6675</v>
      </c>
      <c r="R27" s="5">
        <v>6220</v>
      </c>
      <c r="S27" s="5">
        <v>6079</v>
      </c>
      <c r="T27" s="5">
        <v>5721</v>
      </c>
      <c r="U27" s="5">
        <v>5002</v>
      </c>
      <c r="V27" s="5">
        <v>4796</v>
      </c>
      <c r="W27" s="5">
        <v>4119</v>
      </c>
      <c r="X27" s="5">
        <v>3475</v>
      </c>
      <c r="Y27" s="5">
        <v>3150</v>
      </c>
      <c r="Z27" s="5">
        <v>3315</v>
      </c>
      <c r="AA27" s="5">
        <v>3401</v>
      </c>
      <c r="AB27" s="5">
        <v>3284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70" ht="12.75">
      <c r="A28" t="s">
        <v>77</v>
      </c>
      <c r="I28" s="5">
        <v>29321872</v>
      </c>
      <c r="J28" s="5">
        <v>31558088</v>
      </c>
      <c r="K28" s="5">
        <v>31783248</v>
      </c>
      <c r="L28" s="5">
        <v>34220292</v>
      </c>
      <c r="M28" s="5">
        <v>32422467</v>
      </c>
      <c r="N28" s="5">
        <v>37606607</v>
      </c>
      <c r="O28" s="5">
        <v>35545808</v>
      </c>
      <c r="P28" s="5">
        <v>33531964</v>
      </c>
      <c r="Q28" s="5">
        <v>26944504</v>
      </c>
      <c r="R28" s="5">
        <v>25459610</v>
      </c>
      <c r="S28" s="5">
        <v>26289123</v>
      </c>
      <c r="T28" s="5">
        <v>26352586</v>
      </c>
      <c r="U28" s="5">
        <v>24744785</v>
      </c>
      <c r="V28" s="5">
        <v>24410650</v>
      </c>
      <c r="W28" s="5">
        <v>21741744</v>
      </c>
      <c r="X28" s="5">
        <v>18674704</v>
      </c>
      <c r="Y28" s="5">
        <v>18493353</v>
      </c>
      <c r="Z28" s="5">
        <v>20396803</v>
      </c>
      <c r="AA28" s="5">
        <v>20412704</v>
      </c>
      <c r="AB28" s="5">
        <v>207173439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ht="12.75">
      <c r="A29" t="s">
        <v>42</v>
      </c>
      <c r="I29" s="5">
        <f>I28/I27</f>
        <v>3019.7602471678683</v>
      </c>
      <c r="J29" s="5">
        <f aca="true" t="shared" si="12" ref="J29:Y29">J28/J27</f>
        <v>3194.78517918607</v>
      </c>
      <c r="K29" s="5">
        <f t="shared" si="12"/>
        <v>2979.3070866141734</v>
      </c>
      <c r="L29" s="5">
        <f t="shared" si="12"/>
        <v>3530.0486899112852</v>
      </c>
      <c r="M29" s="5">
        <f t="shared" si="12"/>
        <v>3475.821933962264</v>
      </c>
      <c r="N29" s="5">
        <f t="shared" si="12"/>
        <v>3835.060881093208</v>
      </c>
      <c r="O29" s="5">
        <f t="shared" si="12"/>
        <v>3941.6509203814594</v>
      </c>
      <c r="P29" s="5">
        <f t="shared" si="12"/>
        <v>4000.4729181579573</v>
      </c>
      <c r="Q29" s="5">
        <f t="shared" si="12"/>
        <v>4036.6298127340824</v>
      </c>
      <c r="R29" s="5">
        <f t="shared" si="12"/>
        <v>4093.184887459807</v>
      </c>
      <c r="S29" s="5">
        <f t="shared" si="12"/>
        <v>4324.580194110874</v>
      </c>
      <c r="T29" s="5">
        <f t="shared" si="12"/>
        <v>4606.290159063101</v>
      </c>
      <c r="U29" s="5">
        <f t="shared" si="12"/>
        <v>4946.978208716513</v>
      </c>
      <c r="V29" s="5">
        <f t="shared" si="12"/>
        <v>5089.793577981652</v>
      </c>
      <c r="W29" s="5">
        <f t="shared" si="12"/>
        <v>5278.403495994174</v>
      </c>
      <c r="X29" s="5">
        <f t="shared" si="12"/>
        <v>5374.015539568345</v>
      </c>
      <c r="Y29" s="5">
        <f t="shared" si="12"/>
        <v>5870.905714285715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2.75">
      <c r="A30" t="s">
        <v>133</v>
      </c>
      <c r="I30" s="5"/>
      <c r="J30" s="8">
        <f>(J29-I29)/I29</f>
        <v>0.057959876841994835</v>
      </c>
      <c r="K30" s="8">
        <f aca="true" t="shared" si="13" ref="K30:Y30">(K29-J29)/J29</f>
        <v>-0.06744681738720018</v>
      </c>
      <c r="L30" s="8">
        <f t="shared" si="13"/>
        <v>0.18485560141536161</v>
      </c>
      <c r="M30" s="8">
        <f t="shared" si="13"/>
        <v>-0.015361475354149808</v>
      </c>
      <c r="N30" s="8">
        <f t="shared" si="13"/>
        <v>0.10335366827075325</v>
      </c>
      <c r="O30" s="8">
        <f t="shared" si="13"/>
        <v>0.027793571625873946</v>
      </c>
      <c r="P30" s="8">
        <f t="shared" si="13"/>
        <v>0.014923188015544854</v>
      </c>
      <c r="Q30" s="8">
        <f t="shared" si="13"/>
        <v>0.009038155067119849</v>
      </c>
      <c r="R30" s="8">
        <f t="shared" si="13"/>
        <v>0.014010468472316769</v>
      </c>
      <c r="S30" s="8">
        <f t="shared" si="13"/>
        <v>0.056531848185012834</v>
      </c>
      <c r="T30" s="8">
        <f t="shared" si="13"/>
        <v>0.06514157497549795</v>
      </c>
      <c r="U30" s="8">
        <f t="shared" si="13"/>
        <v>0.07396148264413865</v>
      </c>
      <c r="V30" s="8">
        <f t="shared" si="13"/>
        <v>0.028869213333808437</v>
      </c>
      <c r="W30" s="8">
        <f t="shared" si="13"/>
        <v>0.037056496520496404</v>
      </c>
      <c r="X30" s="8">
        <f t="shared" si="13"/>
        <v>0.018113818628441757</v>
      </c>
      <c r="Y30" s="8">
        <f t="shared" si="13"/>
        <v>0.09246161851576652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2.75">
      <c r="A31" t="s">
        <v>134</v>
      </c>
      <c r="I31" s="5"/>
      <c r="J31" s="8">
        <v>0.058</v>
      </c>
      <c r="K31" s="8">
        <f>J31+K30</f>
        <v>-0.009446817387200178</v>
      </c>
      <c r="L31" s="8">
        <f>K31+L30</f>
        <v>0.17540878402816143</v>
      </c>
      <c r="M31" s="8">
        <f aca="true" t="shared" si="14" ref="M31:Y31">L31+M30</f>
        <v>0.16004730867401162</v>
      </c>
      <c r="N31" s="8">
        <f t="shared" si="14"/>
        <v>0.2634009769447649</v>
      </c>
      <c r="O31" s="8">
        <f t="shared" si="14"/>
        <v>0.2911945485706388</v>
      </c>
      <c r="P31" s="8">
        <f t="shared" si="14"/>
        <v>0.3061177365861837</v>
      </c>
      <c r="Q31" s="8">
        <f t="shared" si="14"/>
        <v>0.31515589165330354</v>
      </c>
      <c r="R31" s="8">
        <f t="shared" si="14"/>
        <v>0.32916636012562034</v>
      </c>
      <c r="S31" s="8">
        <f t="shared" si="14"/>
        <v>0.3856982083106332</v>
      </c>
      <c r="T31" s="8">
        <f t="shared" si="14"/>
        <v>0.4508397832861311</v>
      </c>
      <c r="U31" s="8">
        <f t="shared" si="14"/>
        <v>0.5248012659302698</v>
      </c>
      <c r="V31" s="8">
        <f t="shared" si="14"/>
        <v>0.5536704792640782</v>
      </c>
      <c r="W31" s="8">
        <f t="shared" si="14"/>
        <v>0.5907269757845746</v>
      </c>
      <c r="X31" s="8">
        <f t="shared" si="14"/>
        <v>0.6088407944130163</v>
      </c>
      <c r="Y31" s="8">
        <f t="shared" si="14"/>
        <v>0.7013024129287828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2.75">
      <c r="A32" t="s">
        <v>135</v>
      </c>
      <c r="I32" s="8">
        <v>1</v>
      </c>
      <c r="J32" s="8">
        <f>(J27-I27)/I27</f>
        <v>0.017301750772399586</v>
      </c>
      <c r="K32" s="8">
        <f aca="true" t="shared" si="15" ref="K32:Y32">(K27-J27)/J27</f>
        <v>0.0799757035837214</v>
      </c>
      <c r="L32" s="8">
        <f t="shared" si="15"/>
        <v>-0.09130108736407949</v>
      </c>
      <c r="M32" s="8">
        <f t="shared" si="15"/>
        <v>-0.03775531256447287</v>
      </c>
      <c r="N32" s="8">
        <f t="shared" si="15"/>
        <v>0.05124356775300171</v>
      </c>
      <c r="O32" s="8">
        <f t="shared" si="15"/>
        <v>-0.08035896389965327</v>
      </c>
      <c r="P32" s="8">
        <f t="shared" si="15"/>
        <v>-0.07052561543579508</v>
      </c>
      <c r="Q32" s="8">
        <f t="shared" si="15"/>
        <v>-0.2036506800286328</v>
      </c>
      <c r="R32" s="8">
        <f t="shared" si="15"/>
        <v>-0.06816479400749063</v>
      </c>
      <c r="S32" s="8">
        <f t="shared" si="15"/>
        <v>-0.022668810289389066</v>
      </c>
      <c r="T32" s="8">
        <f t="shared" si="15"/>
        <v>-0.05889126501069255</v>
      </c>
      <c r="U32" s="8">
        <f t="shared" si="15"/>
        <v>-0.12567732913826254</v>
      </c>
      <c r="V32" s="8">
        <f t="shared" si="15"/>
        <v>-0.04118352658936426</v>
      </c>
      <c r="W32" s="8">
        <f t="shared" si="15"/>
        <v>-0.14115929941618016</v>
      </c>
      <c r="X32" s="8">
        <f t="shared" si="15"/>
        <v>-0.1563486283078417</v>
      </c>
      <c r="Y32" s="8">
        <f t="shared" si="15"/>
        <v>-0.09352517985611511</v>
      </c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ht="12.75">
      <c r="A33" t="s">
        <v>136</v>
      </c>
      <c r="I33" s="8"/>
      <c r="J33" s="8">
        <v>0.0173</v>
      </c>
      <c r="K33" s="8">
        <f>K32+J33</f>
        <v>0.0972757035837214</v>
      </c>
      <c r="L33" s="8">
        <f aca="true" t="shared" si="16" ref="L33:Y33">L32+K33</f>
        <v>0.005974616219641904</v>
      </c>
      <c r="M33" s="8">
        <f t="shared" si="16"/>
        <v>-0.031780696344830967</v>
      </c>
      <c r="N33" s="8">
        <f t="shared" si="16"/>
        <v>0.019462871408170747</v>
      </c>
      <c r="O33" s="8">
        <f t="shared" si="16"/>
        <v>-0.06089609249148253</v>
      </c>
      <c r="P33" s="8">
        <f t="shared" si="16"/>
        <v>-0.13142170792727761</v>
      </c>
      <c r="Q33" s="8">
        <f t="shared" si="16"/>
        <v>-0.33507238795591043</v>
      </c>
      <c r="R33" s="8">
        <f t="shared" si="16"/>
        <v>-0.4032371819634011</v>
      </c>
      <c r="S33" s="8">
        <f t="shared" si="16"/>
        <v>-0.42590599225279013</v>
      </c>
      <c r="T33" s="8">
        <f t="shared" si="16"/>
        <v>-0.48479725726348266</v>
      </c>
      <c r="U33" s="8">
        <f t="shared" si="16"/>
        <v>-0.6104745864017452</v>
      </c>
      <c r="V33" s="8">
        <f t="shared" si="16"/>
        <v>-0.6516581129911095</v>
      </c>
      <c r="W33" s="8">
        <f t="shared" si="16"/>
        <v>-0.7928174124072898</v>
      </c>
      <c r="X33" s="8">
        <f t="shared" si="16"/>
        <v>-0.9491660407151314</v>
      </c>
      <c r="Y33" s="8">
        <f t="shared" si="16"/>
        <v>-1.0426912205712466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69" ht="12.75">
      <c r="A34" t="s">
        <v>37</v>
      </c>
      <c r="G34">
        <v>10886150</v>
      </c>
      <c r="H34" s="5">
        <v>10417925</v>
      </c>
      <c r="I34" s="5">
        <v>10190640</v>
      </c>
      <c r="J34" s="5">
        <v>9902125</v>
      </c>
      <c r="K34" s="5">
        <v>11591205</v>
      </c>
      <c r="L34" s="5">
        <v>10130739</v>
      </c>
      <c r="M34" s="5">
        <v>8350002</v>
      </c>
      <c r="N34" s="5">
        <v>8376748</v>
      </c>
      <c r="O34" s="5">
        <v>6992286</v>
      </c>
      <c r="P34" s="5">
        <v>4469992</v>
      </c>
      <c r="Q34" s="5">
        <v>1624902</v>
      </c>
      <c r="R34" s="5">
        <v>84258</v>
      </c>
      <c r="S34" s="5">
        <v>2915</v>
      </c>
      <c r="T34" s="5">
        <v>93</v>
      </c>
      <c r="U34" s="5">
        <v>0</v>
      </c>
      <c r="V34" s="5">
        <v>0</v>
      </c>
      <c r="W34" s="5">
        <v>0</v>
      </c>
      <c r="X34" s="5">
        <v>0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42" ht="12.75">
      <c r="A35" t="s">
        <v>49</v>
      </c>
      <c r="G35">
        <v>1386335</v>
      </c>
      <c r="H35" s="5">
        <v>1715568</v>
      </c>
      <c r="I35" s="5">
        <v>1846174</v>
      </c>
      <c r="J35" s="5">
        <v>2615349</v>
      </c>
      <c r="K35" s="5">
        <v>3982251</v>
      </c>
      <c r="L35" s="5">
        <v>5093079</v>
      </c>
      <c r="M35" s="5">
        <v>6239215</v>
      </c>
      <c r="N35" s="5">
        <v>7950657</v>
      </c>
      <c r="O35" s="5">
        <v>8622186</v>
      </c>
      <c r="P35" s="5">
        <v>9835935</v>
      </c>
      <c r="Q35" s="5">
        <v>10500097</v>
      </c>
      <c r="R35" s="5">
        <v>11897799</v>
      </c>
      <c r="S35" s="5">
        <v>12652948</v>
      </c>
      <c r="T35" s="5">
        <v>13703693</v>
      </c>
      <c r="U35" s="5">
        <v>13180550</v>
      </c>
      <c r="V35" s="5">
        <v>13197294</v>
      </c>
      <c r="W35" s="5">
        <v>12448450</v>
      </c>
      <c r="X35" s="5">
        <v>10658156</v>
      </c>
      <c r="Y35" s="5">
        <v>10913437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.75">
      <c r="A36" t="s">
        <v>54</v>
      </c>
      <c r="C36">
        <f aca="true" t="shared" si="17" ref="C36:I36">SUM(C34:C35)</f>
        <v>0</v>
      </c>
      <c r="D36">
        <f t="shared" si="17"/>
        <v>0</v>
      </c>
      <c r="E36">
        <f t="shared" si="17"/>
        <v>0</v>
      </c>
      <c r="F36">
        <f t="shared" si="17"/>
        <v>0</v>
      </c>
      <c r="G36">
        <f t="shared" si="17"/>
        <v>12272485</v>
      </c>
      <c r="H36" s="6">
        <f t="shared" si="17"/>
        <v>12133493</v>
      </c>
      <c r="I36" s="6">
        <f t="shared" si="17"/>
        <v>12036814</v>
      </c>
      <c r="J36" s="6">
        <f aca="true" t="shared" si="18" ref="J36:O36">SUM(J34:J35)</f>
        <v>12517474</v>
      </c>
      <c r="K36" s="6">
        <f t="shared" si="18"/>
        <v>15573456</v>
      </c>
      <c r="L36" s="6">
        <f t="shared" si="18"/>
        <v>15223818</v>
      </c>
      <c r="M36" s="6">
        <f t="shared" si="18"/>
        <v>14589217</v>
      </c>
      <c r="N36" s="6">
        <f t="shared" si="18"/>
        <v>16327405</v>
      </c>
      <c r="O36" s="6">
        <f t="shared" si="18"/>
        <v>15614472</v>
      </c>
      <c r="P36" s="6">
        <f aca="true" t="shared" si="19" ref="P36:Y36">SUM(P34:P35)</f>
        <v>14305927</v>
      </c>
      <c r="Q36" s="6">
        <f t="shared" si="19"/>
        <v>12124999</v>
      </c>
      <c r="R36" s="6">
        <f t="shared" si="19"/>
        <v>11982057</v>
      </c>
      <c r="S36" s="6">
        <f t="shared" si="19"/>
        <v>12655863</v>
      </c>
      <c r="T36" s="6">
        <f t="shared" si="19"/>
        <v>13703786</v>
      </c>
      <c r="U36" s="6">
        <f t="shared" si="19"/>
        <v>13180550</v>
      </c>
      <c r="V36" s="6">
        <f t="shared" si="19"/>
        <v>13197294</v>
      </c>
      <c r="W36" s="6">
        <f t="shared" si="19"/>
        <v>12448450</v>
      </c>
      <c r="X36" s="5">
        <f t="shared" si="19"/>
        <v>10658156</v>
      </c>
      <c r="Y36" s="5">
        <f t="shared" si="19"/>
        <v>10913437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.75">
      <c r="A37" t="s">
        <v>50</v>
      </c>
      <c r="B37">
        <v>1201</v>
      </c>
      <c r="C37">
        <v>1112</v>
      </c>
      <c r="D37">
        <v>1111</v>
      </c>
      <c r="E37">
        <v>1098</v>
      </c>
      <c r="F37">
        <v>1096</v>
      </c>
      <c r="G37">
        <v>1094</v>
      </c>
      <c r="H37">
        <v>1047</v>
      </c>
      <c r="I37">
        <v>1034</v>
      </c>
      <c r="J37">
        <v>1027</v>
      </c>
      <c r="K37">
        <v>1001</v>
      </c>
      <c r="L37">
        <v>910</v>
      </c>
      <c r="M37" s="5">
        <v>838</v>
      </c>
      <c r="N37" s="5">
        <v>665</v>
      </c>
      <c r="O37" s="5">
        <v>600</v>
      </c>
      <c r="P37" s="5">
        <v>418</v>
      </c>
      <c r="Q37" s="5">
        <v>104</v>
      </c>
      <c r="R37">
        <v>8</v>
      </c>
      <c r="S37" s="5">
        <v>8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2.75">
      <c r="A38" t="s">
        <v>62</v>
      </c>
      <c r="G38">
        <v>2019059</v>
      </c>
      <c r="H38">
        <v>31732</v>
      </c>
      <c r="I38">
        <v>37553</v>
      </c>
      <c r="J38">
        <v>87017</v>
      </c>
      <c r="K38">
        <v>138198</v>
      </c>
      <c r="L38">
        <v>36238</v>
      </c>
      <c r="M38" s="5">
        <v>32586</v>
      </c>
      <c r="N38" s="5">
        <v>92</v>
      </c>
      <c r="O38" s="5">
        <v>3619</v>
      </c>
      <c r="P38" s="5"/>
      <c r="Q38" s="5">
        <v>2586</v>
      </c>
      <c r="R38" s="5">
        <v>289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2.75">
      <c r="A39" t="s">
        <v>63</v>
      </c>
      <c r="G39">
        <f>G38-1889355</f>
        <v>129704</v>
      </c>
      <c r="H39">
        <v>439704</v>
      </c>
      <c r="I39">
        <v>-199843</v>
      </c>
      <c r="J39">
        <v>-39038</v>
      </c>
      <c r="K39">
        <v>-414567</v>
      </c>
      <c r="L39">
        <v>-2665324</v>
      </c>
      <c r="M39" s="5">
        <v>-2184949</v>
      </c>
      <c r="N39" s="5">
        <v>-6356697</v>
      </c>
      <c r="O39" s="5">
        <v>-2197146</v>
      </c>
      <c r="P39" s="5">
        <v>-6675632</v>
      </c>
      <c r="Q39" s="5">
        <v>-14203487</v>
      </c>
      <c r="R39" s="5">
        <v>-5348234</v>
      </c>
      <c r="S39" s="5">
        <v>-1779206</v>
      </c>
      <c r="T39" s="5">
        <v>-869541</v>
      </c>
      <c r="U39" s="5">
        <v>0</v>
      </c>
      <c r="V39" s="5">
        <v>0</v>
      </c>
      <c r="W39" s="5">
        <v>0</v>
      </c>
      <c r="X39" s="5">
        <v>0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.75">
      <c r="A40" t="s">
        <v>55</v>
      </c>
      <c r="B40">
        <v>54006115</v>
      </c>
      <c r="C40">
        <v>50965795</v>
      </c>
      <c r="D40">
        <v>50937637</v>
      </c>
      <c r="E40">
        <v>50633668</v>
      </c>
      <c r="F40">
        <v>50563571</v>
      </c>
      <c r="G40">
        <v>50789926</v>
      </c>
      <c r="H40" s="5">
        <v>49246358</v>
      </c>
      <c r="I40" s="5">
        <v>48781286</v>
      </c>
      <c r="J40" s="5">
        <v>48586396</v>
      </c>
      <c r="K40" s="5">
        <v>47660773</v>
      </c>
      <c r="L40" s="5">
        <v>43285010</v>
      </c>
      <c r="M40" s="5">
        <v>40132623</v>
      </c>
      <c r="N40" s="5">
        <v>31915586</v>
      </c>
      <c r="O40" s="5">
        <v>29030193</v>
      </c>
      <c r="P40" s="5">
        <v>20077779</v>
      </c>
      <c r="Q40" s="5">
        <v>5417324</v>
      </c>
      <c r="R40" s="5">
        <v>343646</v>
      </c>
      <c r="S40" s="5">
        <v>36568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.75">
      <c r="A41" t="s">
        <v>51</v>
      </c>
      <c r="B41">
        <v>9</v>
      </c>
      <c r="C41">
        <v>45</v>
      </c>
      <c r="D41">
        <v>58</v>
      </c>
      <c r="E41">
        <v>59</v>
      </c>
      <c r="F41">
        <v>71</v>
      </c>
      <c r="G41">
        <v>79</v>
      </c>
      <c r="H41">
        <v>103</v>
      </c>
      <c r="I41">
        <v>117</v>
      </c>
      <c r="J41">
        <v>139</v>
      </c>
      <c r="K41">
        <v>148</v>
      </c>
      <c r="L41">
        <v>185</v>
      </c>
      <c r="M41" s="5">
        <v>232</v>
      </c>
      <c r="N41" s="5">
        <v>316</v>
      </c>
      <c r="O41" s="5">
        <v>349</v>
      </c>
      <c r="P41" s="5">
        <v>379</v>
      </c>
      <c r="Q41" s="5">
        <v>493</v>
      </c>
      <c r="R41" s="5">
        <f>194+82+174+233</f>
        <v>683</v>
      </c>
      <c r="S41" s="5">
        <f>200+82+195+286</f>
        <v>763</v>
      </c>
      <c r="T41" s="5">
        <f>212+88+221+286</f>
        <v>807</v>
      </c>
      <c r="U41" s="5">
        <f>213+87+221+286</f>
        <v>807</v>
      </c>
      <c r="V41">
        <f>216+82+229+286</f>
        <v>813</v>
      </c>
      <c r="W41" s="5">
        <f>163+83+281+286</f>
        <v>813</v>
      </c>
      <c r="X41" s="5">
        <f>161+82+280+286</f>
        <v>809</v>
      </c>
      <c r="Y41" s="5">
        <v>808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.75">
      <c r="A42" t="s">
        <v>61</v>
      </c>
      <c r="D42" s="5">
        <v>0</v>
      </c>
      <c r="E42" s="5">
        <v>3400745</v>
      </c>
      <c r="F42" s="5">
        <v>4154350</v>
      </c>
      <c r="G42" s="5">
        <v>3400745</v>
      </c>
      <c r="H42" s="5">
        <v>4154350</v>
      </c>
      <c r="I42" s="5">
        <v>3348598</v>
      </c>
      <c r="J42" s="5">
        <v>4957602</v>
      </c>
      <c r="K42" s="5">
        <v>878621</v>
      </c>
      <c r="L42" s="5">
        <v>10043501</v>
      </c>
      <c r="M42" s="5">
        <v>13269751</v>
      </c>
      <c r="N42" s="5">
        <v>19115833</v>
      </c>
      <c r="O42" s="5">
        <v>5715914</v>
      </c>
      <c r="P42" s="5">
        <v>6202714</v>
      </c>
      <c r="Q42" s="5">
        <v>19214120</v>
      </c>
      <c r="R42" s="5">
        <v>10371806</v>
      </c>
      <c r="S42" s="5">
        <v>9034551</v>
      </c>
      <c r="T42" s="5">
        <v>178475</v>
      </c>
      <c r="U42" s="5">
        <f>1909646-389771</f>
        <v>1519875</v>
      </c>
      <c r="V42" s="5">
        <v>9502376</v>
      </c>
      <c r="W42" s="5">
        <f>248407-598587</f>
        <v>-350180</v>
      </c>
      <c r="X42" s="5">
        <v>41939</v>
      </c>
      <c r="Y42" s="5">
        <f>556148-516796</f>
        <v>39352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2.75">
      <c r="A43" t="s">
        <v>74</v>
      </c>
      <c r="C43">
        <v>0</v>
      </c>
      <c r="D43" s="5">
        <f aca="true" t="shared" si="20" ref="D43:J43">D42+C43</f>
        <v>0</v>
      </c>
      <c r="E43" s="5">
        <f t="shared" si="20"/>
        <v>3400745</v>
      </c>
      <c r="F43" s="5">
        <f t="shared" si="20"/>
        <v>7555095</v>
      </c>
      <c r="G43" s="5">
        <f t="shared" si="20"/>
        <v>10955840</v>
      </c>
      <c r="H43" s="5">
        <f>H42+G43</f>
        <v>15110190</v>
      </c>
      <c r="I43" s="5">
        <f t="shared" si="20"/>
        <v>18458788</v>
      </c>
      <c r="J43" s="5">
        <f t="shared" si="20"/>
        <v>23416390</v>
      </c>
      <c r="K43" s="5">
        <f aca="true" t="shared" si="21" ref="K43:Y43">K42+J43</f>
        <v>24295011</v>
      </c>
      <c r="L43" s="5">
        <f t="shared" si="21"/>
        <v>34338512</v>
      </c>
      <c r="M43" s="5">
        <f t="shared" si="21"/>
        <v>47608263</v>
      </c>
      <c r="N43" s="5">
        <f t="shared" si="21"/>
        <v>66724096</v>
      </c>
      <c r="O43" s="5">
        <f t="shared" si="21"/>
        <v>72440010</v>
      </c>
      <c r="P43" s="5">
        <f t="shared" si="21"/>
        <v>78642724</v>
      </c>
      <c r="Q43" s="5">
        <f t="shared" si="21"/>
        <v>97856844</v>
      </c>
      <c r="R43" s="5">
        <f t="shared" si="21"/>
        <v>108228650</v>
      </c>
      <c r="S43" s="5">
        <f t="shared" si="21"/>
        <v>117263201</v>
      </c>
      <c r="T43" s="5">
        <f t="shared" si="21"/>
        <v>117441676</v>
      </c>
      <c r="U43" s="5">
        <f t="shared" si="21"/>
        <v>118961551</v>
      </c>
      <c r="V43" s="5">
        <f t="shared" si="21"/>
        <v>128463927</v>
      </c>
      <c r="W43" s="5">
        <f t="shared" si="21"/>
        <v>128113747</v>
      </c>
      <c r="X43" s="5">
        <f t="shared" si="21"/>
        <v>128155686</v>
      </c>
      <c r="Y43" s="5">
        <f t="shared" si="21"/>
        <v>128195038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.75">
      <c r="A44" t="s">
        <v>72</v>
      </c>
      <c r="E44" s="17">
        <f>PMT(0.016,10,-E43,,)</f>
        <v>370713.3059694211</v>
      </c>
      <c r="F44" s="17">
        <f>PMT(0.016,10,-F43,,)</f>
        <v>823576.6705127975</v>
      </c>
      <c r="G44" s="17">
        <f>PMT(0.016,10,-G43,,)</f>
        <v>1194289.9764822188</v>
      </c>
      <c r="H44" s="17">
        <f>PMT(0.016,10,-H43,,)</f>
        <v>1647153.341025595</v>
      </c>
      <c r="I44" s="17">
        <f>PMT(0.018,10,-I43,,)</f>
        <v>2033508.3368324046</v>
      </c>
      <c r="J44" s="17">
        <f aca="true" t="shared" si="22" ref="J44:X44">PMT(0.03,14,-J43,,)</f>
        <v>2072967.27907753</v>
      </c>
      <c r="K44" s="17">
        <f t="shared" si="22"/>
        <v>2150748.3795678434</v>
      </c>
      <c r="L44" s="17">
        <f t="shared" si="22"/>
        <v>3039862.753746889</v>
      </c>
      <c r="M44" s="17">
        <f t="shared" si="22"/>
        <v>4214585.229094555</v>
      </c>
      <c r="N44" s="17">
        <f t="shared" si="22"/>
        <v>5906839.941341423</v>
      </c>
      <c r="O44" s="17">
        <f t="shared" si="22"/>
        <v>6412848.88174689</v>
      </c>
      <c r="P44" s="17">
        <f t="shared" si="22"/>
        <v>6961952.44397301</v>
      </c>
      <c r="Q44" s="17">
        <f t="shared" si="22"/>
        <v>8662908.144500254</v>
      </c>
      <c r="R44" s="17">
        <f t="shared" si="22"/>
        <v>9581086.158401629</v>
      </c>
      <c r="S44" s="17">
        <f t="shared" si="22"/>
        <v>10380881.882856045</v>
      </c>
      <c r="T44" s="17">
        <f t="shared" si="22"/>
        <v>10396681.621207405</v>
      </c>
      <c r="U44" s="17">
        <f t="shared" si="22"/>
        <v>10531230.590680836</v>
      </c>
      <c r="V44" s="17">
        <f t="shared" si="22"/>
        <v>11372441.149673559</v>
      </c>
      <c r="W44" s="17">
        <f t="shared" si="22"/>
        <v>11341440.99628581</v>
      </c>
      <c r="X44" s="17">
        <f t="shared" si="22"/>
        <v>11345153.702416738</v>
      </c>
      <c r="Y44" s="17">
        <f>PMT(0.03,14,-Y43,,)</f>
        <v>11348637.3909087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.75">
      <c r="A45" t="s">
        <v>95</v>
      </c>
      <c r="E45" s="17">
        <f>PMT(0.07,10,-E43,,)</f>
        <v>484189.5805125719</v>
      </c>
      <c r="F45" s="17">
        <f aca="true" t="shared" si="23" ref="F45:Y45">PMT(0.07,10,-F43,,)</f>
        <v>1075675.5589679994</v>
      </c>
      <c r="G45" s="17">
        <f t="shared" si="23"/>
        <v>1559865.1394805713</v>
      </c>
      <c r="H45" s="17">
        <f t="shared" si="23"/>
        <v>2151351.117935999</v>
      </c>
      <c r="I45" s="17">
        <f t="shared" si="23"/>
        <v>2628116.1388138467</v>
      </c>
      <c r="J45" s="17">
        <f t="shared" si="23"/>
        <v>3333967.1310900357</v>
      </c>
      <c r="K45" s="17">
        <f t="shared" si="23"/>
        <v>3459062.994913855</v>
      </c>
      <c r="L45" s="17">
        <f t="shared" si="23"/>
        <v>4889031.585933645</v>
      </c>
      <c r="M45" s="17">
        <f t="shared" si="23"/>
        <v>6778345.5951275965</v>
      </c>
      <c r="N45" s="17">
        <f t="shared" si="23"/>
        <v>9500010.160220945</v>
      </c>
      <c r="O45" s="17">
        <f t="shared" si="23"/>
        <v>10313827.721345326</v>
      </c>
      <c r="P45" s="17">
        <f t="shared" si="23"/>
        <v>11196954.65079739</v>
      </c>
      <c r="Q45" s="17">
        <f t="shared" si="23"/>
        <v>13932613.073501302</v>
      </c>
      <c r="R45" s="17">
        <f t="shared" si="23"/>
        <v>15409324.910554</v>
      </c>
      <c r="S45" s="17">
        <f t="shared" si="23"/>
        <v>16695641.720197015</v>
      </c>
      <c r="T45" s="17">
        <f t="shared" si="23"/>
        <v>16721052.54499628</v>
      </c>
      <c r="U45" s="17">
        <f t="shared" si="23"/>
        <v>16937448.551954035</v>
      </c>
      <c r="V45" s="17">
        <f t="shared" si="23"/>
        <v>18290373.116810482</v>
      </c>
      <c r="W45" s="17">
        <f t="shared" si="23"/>
        <v>18240515.36290541</v>
      </c>
      <c r="X45" s="17">
        <f t="shared" si="23"/>
        <v>18246486.532992296</v>
      </c>
      <c r="Y45" s="17">
        <f t="shared" si="23"/>
        <v>18252089.37247962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.75">
      <c r="A46" t="s">
        <v>98</v>
      </c>
      <c r="E46" s="6">
        <f aca="true" t="shared" si="24" ref="E46:Y46">E72+E36</f>
        <v>0</v>
      </c>
      <c r="F46" s="6">
        <f t="shared" si="24"/>
        <v>0</v>
      </c>
      <c r="G46" s="6">
        <f t="shared" si="24"/>
        <v>21547032</v>
      </c>
      <c r="H46" s="6">
        <f t="shared" si="24"/>
        <v>21772057</v>
      </c>
      <c r="I46" s="6">
        <f t="shared" si="24"/>
        <v>22423716</v>
      </c>
      <c r="J46" s="6">
        <f t="shared" si="24"/>
        <v>25139269</v>
      </c>
      <c r="K46" s="6">
        <f t="shared" si="24"/>
        <v>31219040</v>
      </c>
      <c r="L46" s="6">
        <f t="shared" si="24"/>
        <v>28525831</v>
      </c>
      <c r="M46" s="6">
        <f t="shared" si="24"/>
        <v>28116775</v>
      </c>
      <c r="N46" s="6">
        <f t="shared" si="24"/>
        <v>28849052</v>
      </c>
      <c r="O46" s="6">
        <f t="shared" si="24"/>
        <v>26903039</v>
      </c>
      <c r="P46" s="6">
        <f t="shared" si="24"/>
        <v>24615935</v>
      </c>
      <c r="Q46" s="6">
        <f t="shared" si="24"/>
        <v>20554800</v>
      </c>
      <c r="R46" s="6">
        <f t="shared" si="24"/>
        <v>19781336</v>
      </c>
      <c r="S46" s="6">
        <f t="shared" si="24"/>
        <v>21365165</v>
      </c>
      <c r="T46" s="6">
        <f t="shared" si="24"/>
        <v>22204997</v>
      </c>
      <c r="U46" s="6">
        <f t="shared" si="24"/>
        <v>20602904</v>
      </c>
      <c r="V46" s="6">
        <f t="shared" si="24"/>
        <v>20956079</v>
      </c>
      <c r="W46" s="6">
        <f t="shared" si="24"/>
        <v>19691782</v>
      </c>
      <c r="X46" s="6">
        <f t="shared" si="24"/>
        <v>17571527</v>
      </c>
      <c r="Y46" s="6">
        <f t="shared" si="24"/>
        <v>18153491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.75">
      <c r="A47" t="s">
        <v>143</v>
      </c>
      <c r="E47" s="6"/>
      <c r="F47" s="6"/>
      <c r="G47" s="6">
        <f aca="true" t="shared" si="25" ref="G47:Y47">G46-G81</f>
        <v>19519256.272378154</v>
      </c>
      <c r="H47" s="6">
        <f t="shared" si="25"/>
        <v>20091149.11211801</v>
      </c>
      <c r="I47" s="6">
        <f t="shared" si="25"/>
        <v>20538829.069411714</v>
      </c>
      <c r="J47" s="6">
        <f t="shared" si="25"/>
        <v>23547971.9563543</v>
      </c>
      <c r="K47" s="6">
        <f t="shared" si="25"/>
        <v>29539994.18274268</v>
      </c>
      <c r="L47" s="6">
        <f t="shared" si="25"/>
        <v>26835460.48751039</v>
      </c>
      <c r="M47" s="6">
        <f t="shared" si="25"/>
        <v>26255017.45452072</v>
      </c>
      <c r="N47" s="6">
        <f t="shared" si="25"/>
        <v>26961094.740167685</v>
      </c>
      <c r="O47" s="6">
        <f t="shared" si="25"/>
        <v>25068455.56169479</v>
      </c>
      <c r="P47" s="6">
        <f t="shared" si="25"/>
        <v>22844591.121987887</v>
      </c>
      <c r="Q47" s="6">
        <f t="shared" si="25"/>
        <v>18866560.394980934</v>
      </c>
      <c r="R47" s="6">
        <f t="shared" si="25"/>
        <v>18058798.864170894</v>
      </c>
      <c r="S47" s="6">
        <f t="shared" si="25"/>
        <v>19632564.617369693</v>
      </c>
      <c r="T47" s="6">
        <f t="shared" si="25"/>
        <v>20566465.74971618</v>
      </c>
      <c r="U47" s="6">
        <f t="shared" si="25"/>
        <v>19113166.646305438</v>
      </c>
      <c r="V47" s="6">
        <f t="shared" si="25"/>
        <v>19541576.803146105</v>
      </c>
      <c r="W47" s="6">
        <f t="shared" si="25"/>
        <v>18347072.17944235</v>
      </c>
      <c r="X47" s="6">
        <f t="shared" si="25"/>
        <v>16407795.225575667</v>
      </c>
      <c r="Y47" s="6">
        <f t="shared" si="25"/>
        <v>16962376.040667344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.75">
      <c r="A48" t="s">
        <v>73</v>
      </c>
      <c r="E48" s="6">
        <f aca="true" t="shared" si="26" ref="E48:Y48">E72+E44+E36</f>
        <v>370713.3059694211</v>
      </c>
      <c r="F48" s="6">
        <f t="shared" si="26"/>
        <v>823576.6705127975</v>
      </c>
      <c r="G48" s="6">
        <f t="shared" si="26"/>
        <v>22741321.97648222</v>
      </c>
      <c r="H48" s="6">
        <f t="shared" si="26"/>
        <v>23419210.341025595</v>
      </c>
      <c r="I48" s="6">
        <f t="shared" si="26"/>
        <v>24457224.336832404</v>
      </c>
      <c r="J48" s="6">
        <f t="shared" si="26"/>
        <v>27212236.27907753</v>
      </c>
      <c r="K48" s="6">
        <f t="shared" si="26"/>
        <v>33369788.379567843</v>
      </c>
      <c r="L48" s="6">
        <f t="shared" si="26"/>
        <v>31565693.75374689</v>
      </c>
      <c r="M48" s="6">
        <f t="shared" si="26"/>
        <v>32331360.229094554</v>
      </c>
      <c r="N48" s="6">
        <f t="shared" si="26"/>
        <v>34755891.94134142</v>
      </c>
      <c r="O48" s="6">
        <f t="shared" si="26"/>
        <v>33315887.88174689</v>
      </c>
      <c r="P48" s="6">
        <f t="shared" si="26"/>
        <v>31577887.443973012</v>
      </c>
      <c r="Q48" s="6">
        <f t="shared" si="26"/>
        <v>29217708.144500256</v>
      </c>
      <c r="R48" s="6">
        <f t="shared" si="26"/>
        <v>29362422.15840163</v>
      </c>
      <c r="S48" s="6">
        <f t="shared" si="26"/>
        <v>31746046.882856045</v>
      </c>
      <c r="T48" s="6">
        <f t="shared" si="26"/>
        <v>32601678.621207405</v>
      </c>
      <c r="U48" s="6">
        <f t="shared" si="26"/>
        <v>31134134.590680838</v>
      </c>
      <c r="V48" s="6">
        <f t="shared" si="26"/>
        <v>32328520.14967356</v>
      </c>
      <c r="W48" s="6">
        <f t="shared" si="26"/>
        <v>31033222.99628581</v>
      </c>
      <c r="X48" s="6">
        <f t="shared" si="26"/>
        <v>28916680.70241674</v>
      </c>
      <c r="Y48" s="6">
        <f t="shared" si="26"/>
        <v>29502128.3909087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.75">
      <c r="A49" t="s">
        <v>144</v>
      </c>
      <c r="E49" s="6"/>
      <c r="F49" s="6"/>
      <c r="G49" s="6">
        <f aca="true" t="shared" si="27" ref="G49:Y49">G48-G81</f>
        <v>20713546.248860374</v>
      </c>
      <c r="H49" s="6">
        <f t="shared" si="27"/>
        <v>21738302.453143604</v>
      </c>
      <c r="I49" s="6">
        <f t="shared" si="27"/>
        <v>22572337.406244118</v>
      </c>
      <c r="J49" s="6">
        <f t="shared" si="27"/>
        <v>25620939.23543183</v>
      </c>
      <c r="K49" s="6">
        <f t="shared" si="27"/>
        <v>31690742.562310524</v>
      </c>
      <c r="L49" s="6">
        <f t="shared" si="27"/>
        <v>29875323.24125728</v>
      </c>
      <c r="M49" s="6">
        <f t="shared" si="27"/>
        <v>30469602.683615275</v>
      </c>
      <c r="N49" s="6">
        <f t="shared" si="27"/>
        <v>32867934.681509107</v>
      </c>
      <c r="O49" s="6">
        <f t="shared" si="27"/>
        <v>31481304.443441678</v>
      </c>
      <c r="P49" s="6">
        <f t="shared" si="27"/>
        <v>29806543.5659609</v>
      </c>
      <c r="Q49" s="6">
        <f t="shared" si="27"/>
        <v>27529468.53948119</v>
      </c>
      <c r="R49" s="6">
        <f t="shared" si="27"/>
        <v>27639885.022572525</v>
      </c>
      <c r="S49" s="6">
        <f t="shared" si="27"/>
        <v>30013446.500225738</v>
      </c>
      <c r="T49" s="6">
        <f t="shared" si="27"/>
        <v>30963147.370923586</v>
      </c>
      <c r="U49" s="6">
        <f t="shared" si="27"/>
        <v>29644397.236986276</v>
      </c>
      <c r="V49" s="6">
        <f t="shared" si="27"/>
        <v>30914017.952819664</v>
      </c>
      <c r="W49" s="6">
        <f t="shared" si="27"/>
        <v>29688513.17572816</v>
      </c>
      <c r="X49" s="6">
        <f t="shared" si="27"/>
        <v>27752948.927992407</v>
      </c>
      <c r="Y49" s="6">
        <f t="shared" si="27"/>
        <v>28311013.431576043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t="s">
        <v>96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.75">
      <c r="A51" t="s">
        <v>56</v>
      </c>
      <c r="B51">
        <v>465890</v>
      </c>
      <c r="C51">
        <v>2313949</v>
      </c>
      <c r="D51">
        <v>3091491</v>
      </c>
      <c r="E51">
        <v>3072886</v>
      </c>
      <c r="F51">
        <v>3960243</v>
      </c>
      <c r="G51">
        <v>5509363</v>
      </c>
      <c r="H51" s="5">
        <v>7808831</v>
      </c>
      <c r="I51" s="5">
        <v>8873455</v>
      </c>
      <c r="J51" s="5">
        <v>10511645</v>
      </c>
      <c r="K51" s="5">
        <v>10913373</v>
      </c>
      <c r="L51" s="5">
        <v>14888588</v>
      </c>
      <c r="M51" s="5">
        <v>20091868</v>
      </c>
      <c r="N51" s="5">
        <v>28454581</v>
      </c>
      <c r="O51" s="5">
        <v>30915230</v>
      </c>
      <c r="P51" s="5">
        <v>33374626</v>
      </c>
      <c r="Q51" s="5">
        <v>40982223</v>
      </c>
      <c r="R51" s="5">
        <f>11950648+4964794+12051651+16968450</f>
        <v>45935543</v>
      </c>
      <c r="S51" s="5">
        <f>12712757+5220598+13662315+16967617</f>
        <v>48563287</v>
      </c>
      <c r="T51" s="5">
        <v>48700000</v>
      </c>
      <c r="U51" s="5">
        <f>12975412+4835770+14234548+16967617</f>
        <v>49013347</v>
      </c>
      <c r="V51" s="5">
        <f>9836399+4897790+17474556+16967475</f>
        <v>49176220</v>
      </c>
      <c r="W51" s="5">
        <f>9724119+4854428+17452411+16967475</f>
        <v>48998433</v>
      </c>
      <c r="X51" s="5">
        <f>9588170+5177418+17296843+16703280</f>
        <v>48765711</v>
      </c>
      <c r="Y51" s="5">
        <f>9583366+5177418+17287790+16644860</f>
        <v>48693434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t="s">
        <v>65</v>
      </c>
      <c r="B52">
        <f aca="true" t="shared" si="28" ref="B52:Y52">B40+B51+B76</f>
        <v>61037255</v>
      </c>
      <c r="C52">
        <f t="shared" si="28"/>
        <v>59844994</v>
      </c>
      <c r="D52">
        <f t="shared" si="28"/>
        <v>60594378</v>
      </c>
      <c r="E52">
        <f t="shared" si="28"/>
        <v>60166804</v>
      </c>
      <c r="F52">
        <f t="shared" si="28"/>
        <v>60984064</v>
      </c>
      <c r="G52">
        <f t="shared" si="28"/>
        <v>62759539</v>
      </c>
      <c r="H52" s="5">
        <f t="shared" si="28"/>
        <v>63515439</v>
      </c>
      <c r="I52" s="5">
        <f t="shared" si="28"/>
        <v>64114991</v>
      </c>
      <c r="J52" s="5">
        <f t="shared" si="28"/>
        <v>65453291</v>
      </c>
      <c r="K52" s="5">
        <f t="shared" si="28"/>
        <v>64929396</v>
      </c>
      <c r="L52" s="5">
        <f t="shared" si="28"/>
        <v>64528848</v>
      </c>
      <c r="M52" s="5">
        <f t="shared" si="28"/>
        <v>67704941</v>
      </c>
      <c r="N52" s="5">
        <f t="shared" si="28"/>
        <v>67625117</v>
      </c>
      <c r="O52" s="5">
        <f t="shared" si="28"/>
        <v>67054373</v>
      </c>
      <c r="P52" s="5">
        <f t="shared" si="28"/>
        <v>60597627</v>
      </c>
      <c r="Q52" s="5">
        <f t="shared" si="28"/>
        <v>53327019</v>
      </c>
      <c r="R52" s="5">
        <f t="shared" si="28"/>
        <v>52898036</v>
      </c>
      <c r="S52" s="5">
        <f t="shared" si="28"/>
        <v>55218702</v>
      </c>
      <c r="T52" s="5">
        <f t="shared" si="28"/>
        <v>55108847</v>
      </c>
      <c r="U52" s="5">
        <f t="shared" si="28"/>
        <v>55422194</v>
      </c>
      <c r="V52" s="5">
        <f t="shared" si="28"/>
        <v>55585067</v>
      </c>
      <c r="W52" s="5">
        <f t="shared" si="28"/>
        <v>55404480</v>
      </c>
      <c r="X52" s="5">
        <f t="shared" si="28"/>
        <v>54591271</v>
      </c>
      <c r="Y52" s="5">
        <f t="shared" si="28"/>
        <v>54518994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.75">
      <c r="A53" s="10" t="s">
        <v>71</v>
      </c>
      <c r="D53" s="11"/>
      <c r="E53" s="11"/>
      <c r="F53" s="11"/>
      <c r="G53" s="12">
        <f>(G36/G52)*1000</f>
        <v>195.5477238288828</v>
      </c>
      <c r="H53" s="12">
        <f>(H36/H52)*1000</f>
        <v>191.03218352942503</v>
      </c>
      <c r="I53" s="12">
        <f aca="true" t="shared" si="29" ref="I53:AB53">(I36/I52)*1000</f>
        <v>187.73790360510228</v>
      </c>
      <c r="J53" s="12">
        <f t="shared" si="29"/>
        <v>191.24285133347993</v>
      </c>
      <c r="K53" s="12">
        <f t="shared" si="29"/>
        <v>239.85216187749535</v>
      </c>
      <c r="L53" s="12">
        <f t="shared" si="29"/>
        <v>235.92266826148824</v>
      </c>
      <c r="M53" s="12">
        <f t="shared" si="29"/>
        <v>215.4823087431684</v>
      </c>
      <c r="N53" s="12">
        <f t="shared" si="29"/>
        <v>241.4399519634103</v>
      </c>
      <c r="O53" s="12">
        <f t="shared" si="29"/>
        <v>232.86284400869724</v>
      </c>
      <c r="P53" s="12">
        <f t="shared" si="29"/>
        <v>236.08064718441864</v>
      </c>
      <c r="Q53" s="12">
        <f t="shared" si="29"/>
        <v>227.37065051395427</v>
      </c>
      <c r="R53" s="12">
        <f t="shared" si="29"/>
        <v>226.512322688124</v>
      </c>
      <c r="S53" s="12">
        <f t="shared" si="29"/>
        <v>229.19522809500305</v>
      </c>
      <c r="T53" s="12">
        <f t="shared" si="29"/>
        <v>248.66762318580174</v>
      </c>
      <c r="U53" s="12">
        <f t="shared" si="29"/>
        <v>237.82079071066727</v>
      </c>
      <c r="V53" s="12">
        <f t="shared" si="29"/>
        <v>237.42517032497236</v>
      </c>
      <c r="W53" s="12">
        <f t="shared" si="29"/>
        <v>224.68309421909564</v>
      </c>
      <c r="X53" s="12">
        <f t="shared" si="29"/>
        <v>195.2355349997255</v>
      </c>
      <c r="Y53" s="12">
        <f>(Y36/Y52)*1000</f>
        <v>200.1767860940354</v>
      </c>
      <c r="Z53" s="12" t="e">
        <f t="shared" si="29"/>
        <v>#DIV/0!</v>
      </c>
      <c r="AA53" s="12" t="e">
        <f t="shared" si="29"/>
        <v>#DIV/0!</v>
      </c>
      <c r="AB53" s="12" t="e">
        <f t="shared" si="29"/>
        <v>#DIV/0!</v>
      </c>
      <c r="AC53" s="13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.75">
      <c r="A54" s="10" t="s">
        <v>70</v>
      </c>
      <c r="D54" s="14"/>
      <c r="E54" s="14"/>
      <c r="F54" s="14"/>
      <c r="G54" s="15">
        <f>1000*(G34/G40)</f>
        <v>214.33679584412073</v>
      </c>
      <c r="H54" s="15">
        <f>1000*(H34/H40)</f>
        <v>211.54711582935738</v>
      </c>
      <c r="I54" s="15">
        <f aca="true" t="shared" si="30" ref="I54:S54">1000*(I34/I40)</f>
        <v>208.90470169236622</v>
      </c>
      <c r="J54" s="15">
        <f t="shared" si="30"/>
        <v>203.8044764629177</v>
      </c>
      <c r="K54" s="15">
        <f t="shared" si="30"/>
        <v>243.20220320388006</v>
      </c>
      <c r="L54" s="15">
        <f t="shared" si="30"/>
        <v>234.04728334358708</v>
      </c>
      <c r="M54" s="15">
        <f t="shared" si="30"/>
        <v>208.06021076668725</v>
      </c>
      <c r="N54" s="15">
        <f t="shared" si="30"/>
        <v>262.4657432265226</v>
      </c>
      <c r="O54" s="15">
        <f t="shared" si="30"/>
        <v>240.86253921908133</v>
      </c>
      <c r="P54" s="15">
        <f t="shared" si="30"/>
        <v>222.6337883288784</v>
      </c>
      <c r="Q54" s="15">
        <f t="shared" si="30"/>
        <v>299.945508151257</v>
      </c>
      <c r="R54" s="15">
        <f t="shared" si="30"/>
        <v>245.1883624427463</v>
      </c>
      <c r="S54" s="15">
        <f t="shared" si="30"/>
        <v>79.71450448479544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/>
      <c r="AA54" s="15"/>
      <c r="AB54" s="15"/>
      <c r="AC54" s="1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.75">
      <c r="A55" s="10" t="s">
        <v>69</v>
      </c>
      <c r="D55" s="14"/>
      <c r="E55" s="14"/>
      <c r="F55" s="14"/>
      <c r="G55" s="15">
        <f aca="true" t="shared" si="31" ref="G55:Y55">((1000*(G35/(G51+G76))))</f>
        <v>115.82120491280712</v>
      </c>
      <c r="H55" s="15">
        <f t="shared" si="31"/>
        <v>120.22974710144261</v>
      </c>
      <c r="I55" s="15">
        <f t="shared" si="31"/>
        <v>120.39973378906143</v>
      </c>
      <c r="J55" s="15">
        <f t="shared" si="31"/>
        <v>155.0581182843671</v>
      </c>
      <c r="K55" s="15">
        <f t="shared" si="31"/>
        <v>230.60616935119842</v>
      </c>
      <c r="L55" s="15">
        <f t="shared" si="31"/>
        <v>239.74382595084748</v>
      </c>
      <c r="M55" s="15">
        <f t="shared" si="31"/>
        <v>226.28547226243364</v>
      </c>
      <c r="N55" s="15">
        <f t="shared" si="31"/>
        <v>222.6480375785389</v>
      </c>
      <c r="O55" s="15">
        <f t="shared" si="31"/>
        <v>226.75534357348403</v>
      </c>
      <c r="P55" s="15">
        <f t="shared" si="31"/>
        <v>242.74363023276888</v>
      </c>
      <c r="Q55" s="15">
        <f t="shared" si="31"/>
        <v>219.16434658997517</v>
      </c>
      <c r="R55" s="15">
        <f t="shared" si="31"/>
        <v>226.39020260724175</v>
      </c>
      <c r="S55" s="15">
        <f t="shared" si="31"/>
        <v>229.2942857193598</v>
      </c>
      <c r="T55" s="15">
        <f t="shared" si="31"/>
        <v>248.66593561647187</v>
      </c>
      <c r="U55" s="15">
        <f t="shared" si="31"/>
        <v>237.82079071066727</v>
      </c>
      <c r="V55" s="15">
        <f t="shared" si="31"/>
        <v>237.42517032497236</v>
      </c>
      <c r="W55" s="15">
        <f t="shared" si="31"/>
        <v>224.68309421909564</v>
      </c>
      <c r="X55" s="15">
        <f t="shared" si="31"/>
        <v>195.2355349997255</v>
      </c>
      <c r="Y55" s="15">
        <f t="shared" si="31"/>
        <v>200.1767860940354</v>
      </c>
      <c r="Z55" s="15"/>
      <c r="AA55" s="15"/>
      <c r="AB55" s="15"/>
      <c r="AC55" s="16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10" t="s">
        <v>68</v>
      </c>
      <c r="D56" s="14"/>
      <c r="E56" s="14"/>
      <c r="F56" s="14"/>
      <c r="G56" s="15">
        <f aca="true" t="shared" si="32" ref="G56:Y56">(1000*G35/(G51+G76))/3</f>
        <v>38.60706830426904</v>
      </c>
      <c r="H56" s="15">
        <f t="shared" si="32"/>
        <v>40.076582367147545</v>
      </c>
      <c r="I56" s="15">
        <f t="shared" si="32"/>
        <v>40.133244596353805</v>
      </c>
      <c r="J56" s="15">
        <f t="shared" si="32"/>
        <v>51.68603942812237</v>
      </c>
      <c r="K56" s="15">
        <f t="shared" si="32"/>
        <v>76.86872311706614</v>
      </c>
      <c r="L56" s="15">
        <f t="shared" si="32"/>
        <v>79.91460865028249</v>
      </c>
      <c r="M56" s="15">
        <f t="shared" si="32"/>
        <v>75.42849075414455</v>
      </c>
      <c r="N56" s="15">
        <f t="shared" si="32"/>
        <v>74.21601252617964</v>
      </c>
      <c r="O56" s="15">
        <f t="shared" si="32"/>
        <v>75.58511452449467</v>
      </c>
      <c r="P56" s="15">
        <f t="shared" si="32"/>
        <v>80.91454341092296</v>
      </c>
      <c r="Q56" s="15">
        <f t="shared" si="32"/>
        <v>73.0547821966584</v>
      </c>
      <c r="R56" s="15">
        <f t="shared" si="32"/>
        <v>75.46340086908059</v>
      </c>
      <c r="S56" s="15">
        <f t="shared" si="32"/>
        <v>76.43142857311994</v>
      </c>
      <c r="T56" s="15">
        <f t="shared" si="32"/>
        <v>82.88864520549063</v>
      </c>
      <c r="U56" s="15">
        <f t="shared" si="32"/>
        <v>79.27359690355577</v>
      </c>
      <c r="V56" s="15">
        <f t="shared" si="32"/>
        <v>79.14172344165745</v>
      </c>
      <c r="W56" s="15">
        <f t="shared" si="32"/>
        <v>74.89436473969855</v>
      </c>
      <c r="X56" s="15">
        <f t="shared" si="32"/>
        <v>65.07851166657517</v>
      </c>
      <c r="Y56" s="15">
        <f t="shared" si="32"/>
        <v>66.72559536467847</v>
      </c>
      <c r="Z56" s="15"/>
      <c r="AA56" s="15"/>
      <c r="AB56" s="15"/>
      <c r="AC56" s="16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.75">
      <c r="A57" s="10" t="s">
        <v>85</v>
      </c>
      <c r="D57" s="19"/>
      <c r="E57" s="19"/>
      <c r="F57" s="19"/>
      <c r="G57" s="20">
        <f aca="true" t="shared" si="33" ref="G57:Y57">G53/H$16</f>
        <v>184.47898474422905</v>
      </c>
      <c r="H57" s="20">
        <f t="shared" si="33"/>
        <v>176.88165141613428</v>
      </c>
      <c r="I57" s="20">
        <f t="shared" si="33"/>
        <v>170.67082145918388</v>
      </c>
      <c r="J57" s="20">
        <f t="shared" si="33"/>
        <v>162.0702129944745</v>
      </c>
      <c r="K57" s="20">
        <f t="shared" si="33"/>
        <v>181.70618324052677</v>
      </c>
      <c r="L57" s="20">
        <f t="shared" si="33"/>
        <v>168.51619161534873</v>
      </c>
      <c r="M57" s="20">
        <f t="shared" si="33"/>
        <v>155.02324370012113</v>
      </c>
      <c r="N57" s="20">
        <f t="shared" si="33"/>
        <v>172.45710854529304</v>
      </c>
      <c r="O57" s="20">
        <f t="shared" si="33"/>
        <v>157.33975946533596</v>
      </c>
      <c r="P57" s="20">
        <f t="shared" si="33"/>
        <v>157.38709812294573</v>
      </c>
      <c r="Q57" s="20">
        <f t="shared" si="33"/>
        <v>150.57658974434057</v>
      </c>
      <c r="R57" s="20">
        <f t="shared" si="33"/>
        <v>150.0081607206119</v>
      </c>
      <c r="S57" s="20">
        <f t="shared" si="33"/>
        <v>151.7849192682139</v>
      </c>
      <c r="T57" s="20">
        <f t="shared" si="33"/>
        <v>163.5971205169748</v>
      </c>
      <c r="U57" s="20">
        <f t="shared" si="33"/>
        <v>152.44922481453028</v>
      </c>
      <c r="V57" s="20">
        <f t="shared" si="33"/>
        <v>149.32400649369328</v>
      </c>
      <c r="W57" s="20">
        <f t="shared" si="33"/>
        <v>140.42693388693473</v>
      </c>
      <c r="X57" s="20">
        <f t="shared" si="33"/>
        <v>120.51576234550954</v>
      </c>
      <c r="Y57" s="20">
        <f t="shared" si="33"/>
        <v>122.80784422946955</v>
      </c>
      <c r="Z57" s="20"/>
      <c r="AA57" s="20"/>
      <c r="AB57" s="20"/>
      <c r="AC57" s="21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.75">
      <c r="A58" s="10" t="s">
        <v>86</v>
      </c>
      <c r="D58" s="19"/>
      <c r="E58" s="19"/>
      <c r="F58" s="19"/>
      <c r="G58" s="20">
        <f aca="true" t="shared" si="34" ref="G58:Y58">G54/H$16</f>
        <v>202.20452438124596</v>
      </c>
      <c r="H58" s="20">
        <f t="shared" si="34"/>
        <v>195.87695910125683</v>
      </c>
      <c r="I58" s="20">
        <f t="shared" si="34"/>
        <v>189.91336517487835</v>
      </c>
      <c r="J58" s="20">
        <f t="shared" si="34"/>
        <v>172.71565801942177</v>
      </c>
      <c r="K58" s="20">
        <f t="shared" si="34"/>
        <v>184.24409333627275</v>
      </c>
      <c r="L58" s="20">
        <f t="shared" si="34"/>
        <v>167.17663095970505</v>
      </c>
      <c r="M58" s="20">
        <f t="shared" si="34"/>
        <v>149.6836048681203</v>
      </c>
      <c r="N58" s="20">
        <f t="shared" si="34"/>
        <v>187.47553087608756</v>
      </c>
      <c r="O58" s="20">
        <f t="shared" si="34"/>
        <v>162.74495893181168</v>
      </c>
      <c r="P58" s="20">
        <f t="shared" si="34"/>
        <v>148.4225255525856</v>
      </c>
      <c r="Q58" s="20">
        <f t="shared" si="34"/>
        <v>198.63940937169335</v>
      </c>
      <c r="R58" s="20">
        <f t="shared" si="34"/>
        <v>162.37639896870613</v>
      </c>
      <c r="S58" s="20">
        <f t="shared" si="34"/>
        <v>52.79106257271221</v>
      </c>
      <c r="T58" s="20">
        <f t="shared" si="34"/>
        <v>0</v>
      </c>
      <c r="U58" s="20">
        <f t="shared" si="34"/>
        <v>0</v>
      </c>
      <c r="V58" s="20">
        <f t="shared" si="34"/>
        <v>0</v>
      </c>
      <c r="W58" s="20">
        <f t="shared" si="34"/>
        <v>0</v>
      </c>
      <c r="X58" s="20">
        <f t="shared" si="34"/>
        <v>0</v>
      </c>
      <c r="Y58" s="20">
        <f t="shared" si="34"/>
        <v>0</v>
      </c>
      <c r="Z58" s="20"/>
      <c r="AA58" s="20"/>
      <c r="AB58" s="20"/>
      <c r="AC58" s="21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10" t="s">
        <v>87</v>
      </c>
      <c r="D59" s="19"/>
      <c r="E59" s="19"/>
      <c r="F59" s="19"/>
      <c r="G59" s="20">
        <f aca="true" t="shared" si="35" ref="G59:Y59">G55/H$16</f>
        <v>109.26528765359161</v>
      </c>
      <c r="H59" s="20">
        <f t="shared" si="35"/>
        <v>111.32383990874315</v>
      </c>
      <c r="I59" s="20">
        <f t="shared" si="35"/>
        <v>109.4543034446013</v>
      </c>
      <c r="J59" s="20">
        <f t="shared" si="35"/>
        <v>131.40518498675178</v>
      </c>
      <c r="K59" s="20">
        <f t="shared" si="35"/>
        <v>174.7016434478776</v>
      </c>
      <c r="L59" s="20">
        <f t="shared" si="35"/>
        <v>171.24558996489105</v>
      </c>
      <c r="M59" s="20">
        <f t="shared" si="35"/>
        <v>162.79530378592347</v>
      </c>
      <c r="N59" s="20">
        <f t="shared" si="35"/>
        <v>159.0343125560992</v>
      </c>
      <c r="O59" s="20">
        <f t="shared" si="35"/>
        <v>153.21306998208377</v>
      </c>
      <c r="P59" s="20">
        <f t="shared" si="35"/>
        <v>161.8290868218459</v>
      </c>
      <c r="Q59" s="20">
        <f t="shared" si="35"/>
        <v>145.14195138408948</v>
      </c>
      <c r="R59" s="20">
        <f t="shared" si="35"/>
        <v>149.92728649486207</v>
      </c>
      <c r="S59" s="20">
        <f t="shared" si="35"/>
        <v>151.85052034394687</v>
      </c>
      <c r="T59" s="20">
        <f t="shared" si="35"/>
        <v>163.59601027399464</v>
      </c>
      <c r="U59" s="20">
        <f t="shared" si="35"/>
        <v>152.44922481453028</v>
      </c>
      <c r="V59" s="20">
        <f t="shared" si="35"/>
        <v>149.32400649369328</v>
      </c>
      <c r="W59" s="20">
        <f t="shared" si="35"/>
        <v>140.42693388693473</v>
      </c>
      <c r="X59" s="20">
        <f t="shared" si="35"/>
        <v>120.51576234550954</v>
      </c>
      <c r="Y59" s="20">
        <f t="shared" si="35"/>
        <v>122.80784422946955</v>
      </c>
      <c r="Z59" s="20"/>
      <c r="AA59" s="20"/>
      <c r="AB59" s="20"/>
      <c r="AC59" s="21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10" t="s">
        <v>88</v>
      </c>
      <c r="D60" s="19"/>
      <c r="E60" s="19"/>
      <c r="F60" s="19"/>
      <c r="G60" s="20">
        <f aca="true" t="shared" si="36" ref="G60:Y60">G56/H$16</f>
        <v>36.421762551197205</v>
      </c>
      <c r="H60" s="20">
        <f t="shared" si="36"/>
        <v>37.107946636247725</v>
      </c>
      <c r="I60" s="20">
        <f t="shared" si="36"/>
        <v>36.48476781486709</v>
      </c>
      <c r="J60" s="20">
        <f t="shared" si="36"/>
        <v>43.80172832891726</v>
      </c>
      <c r="K60" s="20">
        <f t="shared" si="36"/>
        <v>58.23388114929253</v>
      </c>
      <c r="L60" s="20">
        <f t="shared" si="36"/>
        <v>57.081863321630344</v>
      </c>
      <c r="M60" s="20">
        <f t="shared" si="36"/>
        <v>54.26510126197449</v>
      </c>
      <c r="N60" s="20">
        <f t="shared" si="36"/>
        <v>53.011437518699736</v>
      </c>
      <c r="O60" s="20">
        <f t="shared" si="36"/>
        <v>51.07102332736126</v>
      </c>
      <c r="P60" s="20">
        <f t="shared" si="36"/>
        <v>53.9430289406153</v>
      </c>
      <c r="Q60" s="20">
        <f t="shared" si="36"/>
        <v>48.38065046136317</v>
      </c>
      <c r="R60" s="20">
        <f t="shared" si="36"/>
        <v>49.97576216495403</v>
      </c>
      <c r="S60" s="20">
        <f t="shared" si="36"/>
        <v>50.616840114648966</v>
      </c>
      <c r="T60" s="20">
        <f t="shared" si="36"/>
        <v>54.53200342466488</v>
      </c>
      <c r="U60" s="20">
        <f t="shared" si="36"/>
        <v>50.8164082715101</v>
      </c>
      <c r="V60" s="20">
        <f t="shared" si="36"/>
        <v>49.77466883123109</v>
      </c>
      <c r="W60" s="20">
        <f t="shared" si="36"/>
        <v>46.80897796231158</v>
      </c>
      <c r="X60" s="20">
        <f t="shared" si="36"/>
        <v>40.17192078183651</v>
      </c>
      <c r="Y60" s="20">
        <f t="shared" si="36"/>
        <v>40.93594807648985</v>
      </c>
      <c r="Z60" s="20"/>
      <c r="AA60" s="20"/>
      <c r="AB60" s="20"/>
      <c r="AC60" s="21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9" ht="12.75">
      <c r="A61" s="10" t="s">
        <v>145</v>
      </c>
      <c r="D61" s="14"/>
      <c r="E61" s="14"/>
      <c r="F61" s="14"/>
      <c r="G61" s="15">
        <f>G49/(G52)</f>
        <v>0.33004618228410465</v>
      </c>
      <c r="H61" s="15">
        <f aca="true" t="shared" si="37" ref="H61:Y61">H49/(H52)</f>
        <v>0.34225225859091685</v>
      </c>
      <c r="I61" s="15">
        <f t="shared" si="37"/>
        <v>0.35206021328528486</v>
      </c>
      <c r="J61" s="15">
        <f t="shared" si="37"/>
        <v>0.391438518124808</v>
      </c>
      <c r="K61" s="15">
        <f t="shared" si="37"/>
        <v>0.4880800456284935</v>
      </c>
      <c r="L61" s="15">
        <f t="shared" si="37"/>
        <v>0.462976237252171</v>
      </c>
      <c r="M61" s="15">
        <f t="shared" si="37"/>
        <v>0.45003514121096827</v>
      </c>
      <c r="N61" s="15">
        <f t="shared" si="37"/>
        <v>0.4860314649290604</v>
      </c>
      <c r="O61" s="15">
        <f t="shared" si="37"/>
        <v>0.46948920756356455</v>
      </c>
      <c r="P61" s="15">
        <f t="shared" si="37"/>
        <v>0.4918764156550371</v>
      </c>
      <c r="Q61" s="15">
        <f t="shared" si="37"/>
        <v>0.5162386545454789</v>
      </c>
      <c r="R61" s="15">
        <f t="shared" si="37"/>
        <v>0.5225124997565604</v>
      </c>
      <c r="S61" s="15">
        <f t="shared" si="37"/>
        <v>0.5435377039508414</v>
      </c>
      <c r="T61" s="15">
        <f t="shared" si="37"/>
        <v>0.5618543855748531</v>
      </c>
      <c r="U61" s="15">
        <f t="shared" si="37"/>
        <v>0.5348831415260514</v>
      </c>
      <c r="V61" s="15">
        <f t="shared" si="37"/>
        <v>0.5561568892742301</v>
      </c>
      <c r="W61" s="15">
        <f t="shared" si="37"/>
        <v>0.535850407326775</v>
      </c>
      <c r="X61" s="15">
        <f t="shared" si="37"/>
        <v>0.5083770430622948</v>
      </c>
      <c r="Y61" s="15">
        <f t="shared" si="37"/>
        <v>0.5192871576386029</v>
      </c>
      <c r="Z61" s="15"/>
      <c r="AA61" s="15"/>
      <c r="AB61" s="15"/>
      <c r="AC61" s="16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  <c r="AR61" s="31"/>
      <c r="AS61" s="31"/>
      <c r="AT61" s="31"/>
      <c r="AU61" s="31"/>
      <c r="AV61" s="31"/>
      <c r="AW61" s="31"/>
    </row>
    <row r="62" spans="1:49" ht="12.75">
      <c r="A62" s="10" t="s">
        <v>147</v>
      </c>
      <c r="B62" t="s">
        <v>150</v>
      </c>
      <c r="D62" s="14"/>
      <c r="E62" s="14"/>
      <c r="F62" s="14"/>
      <c r="G62" s="15">
        <f aca="true" t="shared" si="38" ref="G62:Y62">(G72/1.04+G49/H16-G72/H16)/G52</f>
        <v>0.31404536574410025</v>
      </c>
      <c r="H62" s="15">
        <f t="shared" si="38"/>
        <v>0.3223044956154444</v>
      </c>
      <c r="I62" s="15">
        <f t="shared" si="38"/>
        <v>0.32855146654176065</v>
      </c>
      <c r="J62" s="15">
        <f t="shared" si="38"/>
        <v>0.3537265265162283</v>
      </c>
      <c r="K62" s="15">
        <f t="shared" si="38"/>
        <v>0.41890508149030553</v>
      </c>
      <c r="L62" s="15">
        <f t="shared" si="38"/>
        <v>0.3816661326286161</v>
      </c>
      <c r="M62" s="15">
        <f t="shared" si="38"/>
        <v>0.37214106224258003</v>
      </c>
      <c r="N62" s="15">
        <f t="shared" si="38"/>
        <v>0.39294731012379686</v>
      </c>
      <c r="O62" s="15">
        <f t="shared" si="38"/>
        <v>0.3653472811086134</v>
      </c>
      <c r="P62" s="15">
        <f t="shared" si="38"/>
        <v>0.37808674600535924</v>
      </c>
      <c r="Q62" s="15">
        <f t="shared" si="38"/>
        <v>0.3891904089857887</v>
      </c>
      <c r="R62" s="15">
        <f t="shared" si="38"/>
        <v>0.3901615726886977</v>
      </c>
      <c r="S62" s="15">
        <f t="shared" si="38"/>
        <v>0.4071633884691957</v>
      </c>
      <c r="T62" s="15">
        <f t="shared" si="38"/>
        <v>0.41648178674227626</v>
      </c>
      <c r="U62" s="15">
        <f t="shared" si="38"/>
        <v>0.38579812190478197</v>
      </c>
      <c r="V62" s="15">
        <f t="shared" si="38"/>
        <v>0.3962109065241575</v>
      </c>
      <c r="W62" s="15">
        <f t="shared" si="38"/>
        <v>0.37890402621813984</v>
      </c>
      <c r="X62" s="15">
        <f t="shared" si="38"/>
        <v>0.35740895477543505</v>
      </c>
      <c r="Y62" s="15">
        <f t="shared" si="38"/>
        <v>0.36480055668383027</v>
      </c>
      <c r="Z62" s="15"/>
      <c r="AA62" s="15"/>
      <c r="AB62" s="15"/>
      <c r="AC62" s="16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  <c r="AR62" s="31"/>
      <c r="AS62" s="31"/>
      <c r="AT62" s="31"/>
      <c r="AU62" s="31"/>
      <c r="AV62" s="31"/>
      <c r="AW62" s="31"/>
    </row>
    <row r="63" spans="1:49" ht="12.75">
      <c r="A63" s="10" t="s">
        <v>146</v>
      </c>
      <c r="D63" s="14"/>
      <c r="E63" s="14"/>
      <c r="F63" s="14"/>
      <c r="G63" s="15">
        <f aca="true" t="shared" si="39" ref="G63:Y63">G81/H16/G76</f>
        <v>0.2961179473634259</v>
      </c>
      <c r="H63" s="15">
        <f t="shared" si="39"/>
        <v>0.24091887968473719</v>
      </c>
      <c r="I63" s="15">
        <f t="shared" si="39"/>
        <v>0.2652426103110683</v>
      </c>
      <c r="J63" s="15">
        <f t="shared" si="39"/>
        <v>0.21219571482615124</v>
      </c>
      <c r="K63" s="15">
        <f t="shared" si="39"/>
        <v>0.20015017615563813</v>
      </c>
      <c r="L63" s="15">
        <f t="shared" si="39"/>
        <v>0.18998583988374151</v>
      </c>
      <c r="M63" s="15">
        <f t="shared" si="39"/>
        <v>0.17905258608920468</v>
      </c>
      <c r="N63" s="15">
        <f t="shared" si="39"/>
        <v>0.18587873105675776</v>
      </c>
      <c r="O63" s="15">
        <f t="shared" si="39"/>
        <v>0.17436940817705518</v>
      </c>
      <c r="P63" s="15">
        <f t="shared" si="39"/>
        <v>0.16527071078753652</v>
      </c>
      <c r="Q63" s="15">
        <f t="shared" si="39"/>
        <v>0.16139213172172495</v>
      </c>
      <c r="R63" s="15">
        <f t="shared" si="39"/>
        <v>0.17234921279877014</v>
      </c>
      <c r="S63" s="15">
        <f t="shared" si="39"/>
        <v>0.17335609539555782</v>
      </c>
      <c r="T63" s="15">
        <f t="shared" si="39"/>
        <v>0.16820203161552125</v>
      </c>
      <c r="U63" s="15">
        <f t="shared" si="39"/>
        <v>0.14900649712996722</v>
      </c>
      <c r="V63" s="15">
        <f t="shared" si="39"/>
        <v>0.13881186790362615</v>
      </c>
      <c r="W63" s="15">
        <f t="shared" si="39"/>
        <v>0.13119535929857087</v>
      </c>
      <c r="X63" s="15">
        <f t="shared" si="39"/>
        <v>0.1233105396177388</v>
      </c>
      <c r="Y63" s="15">
        <f t="shared" si="39"/>
        <v>0.12543779032809127</v>
      </c>
      <c r="Z63" s="15"/>
      <c r="AA63" s="15"/>
      <c r="AB63" s="15"/>
      <c r="AC63" s="16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1"/>
      <c r="AR63" s="31"/>
      <c r="AS63" s="31"/>
      <c r="AT63" s="31"/>
      <c r="AU63" s="31"/>
      <c r="AV63" s="31"/>
      <c r="AW63" s="31"/>
    </row>
    <row r="64" spans="1:49" ht="12.75">
      <c r="A64" s="10" t="s">
        <v>149</v>
      </c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1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3"/>
      <c r="AR64" s="33"/>
      <c r="AS64" s="33"/>
      <c r="AT64" s="33"/>
      <c r="AU64" s="33"/>
      <c r="AV64" s="33"/>
      <c r="AW64" s="33"/>
    </row>
    <row r="65" spans="1:49" ht="12.75">
      <c r="A65" s="10" t="s">
        <v>155</v>
      </c>
      <c r="D65" s="34">
        <f>E6-E48</f>
        <v>115592550.69403058</v>
      </c>
      <c r="E65" s="34">
        <f aca="true" t="shared" si="40" ref="E65:Y65">F6-F48</f>
        <v>144912224.3294872</v>
      </c>
      <c r="F65" s="34">
        <f t="shared" si="40"/>
        <v>137844184.0235178</v>
      </c>
      <c r="G65" s="34">
        <f t="shared" si="40"/>
        <v>163440206.6589744</v>
      </c>
      <c r="H65" s="34">
        <f t="shared" si="40"/>
        <v>147366038.6631676</v>
      </c>
      <c r="I65" s="34">
        <f t="shared" si="40"/>
        <v>158922931.72092247</v>
      </c>
      <c r="J65" s="34">
        <f t="shared" si="40"/>
        <v>176906798.62043217</v>
      </c>
      <c r="K65" s="34">
        <f t="shared" si="40"/>
        <v>170546133.2462531</v>
      </c>
      <c r="L65" s="34">
        <f t="shared" si="40"/>
        <v>167319595.77090544</v>
      </c>
      <c r="M65" s="34">
        <f t="shared" si="40"/>
        <v>184699249.05865857</v>
      </c>
      <c r="N65" s="34">
        <f t="shared" si="40"/>
        <v>188806850.1182531</v>
      </c>
      <c r="O65" s="34">
        <f t="shared" si="40"/>
        <v>186605871.556027</v>
      </c>
      <c r="P65" s="34">
        <f t="shared" si="40"/>
        <v>170192895.85549974</v>
      </c>
      <c r="Q65" s="34">
        <f t="shared" si="40"/>
        <v>175278919.84159836</v>
      </c>
      <c r="R65" s="34">
        <f t="shared" si="40"/>
        <v>179000252.11714396</v>
      </c>
      <c r="S65" s="34">
        <f t="shared" si="40"/>
        <v>175577132.37879258</v>
      </c>
      <c r="T65" s="34">
        <f t="shared" si="40"/>
        <v>168277712.40931916</v>
      </c>
      <c r="U65" s="34">
        <f t="shared" si="40"/>
        <v>166523060.85032645</v>
      </c>
      <c r="V65" s="34">
        <f t="shared" si="40"/>
        <v>156896580.0037142</v>
      </c>
      <c r="W65" s="34">
        <f t="shared" si="40"/>
        <v>146966882.29758325</v>
      </c>
      <c r="X65" s="34">
        <f t="shared" si="40"/>
        <v>151482164.6090913</v>
      </c>
      <c r="Y65" s="34">
        <f t="shared" si="40"/>
        <v>177182235</v>
      </c>
      <c r="Z65" s="20"/>
      <c r="AA65" s="20"/>
      <c r="AB65" s="20"/>
      <c r="AC65" s="21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3"/>
      <c r="AR65" s="33"/>
      <c r="AS65" s="33"/>
      <c r="AT65" s="33"/>
      <c r="AU65" s="33"/>
      <c r="AV65" s="33"/>
      <c r="AW65" s="33"/>
    </row>
    <row r="66" spans="1:49" ht="12.75">
      <c r="A66" s="10" t="s">
        <v>148</v>
      </c>
      <c r="D66" s="34" t="e">
        <f>D65/D16</f>
        <v>#DIV/0!</v>
      </c>
      <c r="E66" s="34" t="e">
        <f>E65/E16</f>
        <v>#DIV/0!</v>
      </c>
      <c r="F66" s="34" t="e">
        <f>F65/F16</f>
        <v>#DIV/0!</v>
      </c>
      <c r="G66" s="34">
        <f>G65/G16</f>
        <v>163440206.6589744</v>
      </c>
      <c r="H66" s="34">
        <f>H65/H16</f>
        <v>139024564.7765732</v>
      </c>
      <c r="I66" s="34">
        <f aca="true" t="shared" si="41" ref="I66:Y66">I65/I16</f>
        <v>147150862.70455784</v>
      </c>
      <c r="J66" s="34">
        <f t="shared" si="41"/>
        <v>160824362.38221106</v>
      </c>
      <c r="K66" s="34">
        <f t="shared" si="41"/>
        <v>144530621.39512974</v>
      </c>
      <c r="L66" s="34">
        <f t="shared" si="41"/>
        <v>126757269.5234132</v>
      </c>
      <c r="M66" s="34">
        <f t="shared" si="41"/>
        <v>131928035.04189897</v>
      </c>
      <c r="N66" s="34">
        <f t="shared" si="41"/>
        <v>135832266.27212453</v>
      </c>
      <c r="O66" s="34">
        <f t="shared" si="41"/>
        <v>133289908.25430499</v>
      </c>
      <c r="P66" s="34">
        <f t="shared" si="41"/>
        <v>114995199.90236467</v>
      </c>
      <c r="Q66" s="34">
        <f t="shared" si="41"/>
        <v>116852613.22773223</v>
      </c>
      <c r="R66" s="34">
        <f t="shared" si="41"/>
        <v>118543213.32261187</v>
      </c>
      <c r="S66" s="34">
        <f t="shared" si="41"/>
        <v>116276246.60847189</v>
      </c>
      <c r="T66" s="34">
        <f t="shared" si="41"/>
        <v>111442193.64855573</v>
      </c>
      <c r="U66" s="34">
        <f t="shared" si="41"/>
        <v>109554645.29626739</v>
      </c>
      <c r="V66" s="34">
        <f t="shared" si="41"/>
        <v>100574730.77161165</v>
      </c>
      <c r="W66" s="34">
        <f t="shared" si="41"/>
        <v>92432001.4450209</v>
      </c>
      <c r="X66" s="34">
        <f t="shared" si="41"/>
        <v>94676352.88068205</v>
      </c>
      <c r="Y66" s="34">
        <f t="shared" si="41"/>
        <v>109371749.99999999</v>
      </c>
      <c r="Z66" s="20"/>
      <c r="AA66" s="20"/>
      <c r="AB66" s="20"/>
      <c r="AC66" s="21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3"/>
      <c r="AR66" s="33"/>
      <c r="AS66" s="33"/>
      <c r="AT66" s="33"/>
      <c r="AU66" s="33"/>
      <c r="AV66" s="33"/>
      <c r="AW66" s="33"/>
    </row>
    <row r="67" spans="1:49" ht="12.75">
      <c r="A67" s="10" t="s">
        <v>151</v>
      </c>
      <c r="D67" s="34"/>
      <c r="E67" s="34"/>
      <c r="F67" s="34"/>
      <c r="G67" s="34"/>
      <c r="H67" s="35">
        <f>H66/$G$65</f>
        <v>0.850614225339634</v>
      </c>
      <c r="I67" s="35">
        <f aca="true" t="shared" si="42" ref="I67:Y67">I66/$G$65</f>
        <v>0.9003345364803347</v>
      </c>
      <c r="J67" s="35">
        <f t="shared" si="42"/>
        <v>0.9839950993073483</v>
      </c>
      <c r="K67" s="35">
        <f t="shared" si="42"/>
        <v>0.8843027327828801</v>
      </c>
      <c r="L67" s="35">
        <f t="shared" si="42"/>
        <v>0.7755574476719681</v>
      </c>
      <c r="M67" s="35">
        <f t="shared" si="42"/>
        <v>0.8071944947865426</v>
      </c>
      <c r="N67" s="35">
        <f t="shared" si="42"/>
        <v>0.8310823208608936</v>
      </c>
      <c r="O67" s="35">
        <f t="shared" si="42"/>
        <v>0.8155270418399592</v>
      </c>
      <c r="P67" s="35">
        <f t="shared" si="42"/>
        <v>0.7035918655090023</v>
      </c>
      <c r="Q67" s="35">
        <f t="shared" si="42"/>
        <v>0.7149563477458801</v>
      </c>
      <c r="R67" s="35">
        <f t="shared" si="42"/>
        <v>0.7253001923202275</v>
      </c>
      <c r="S67" s="35">
        <f t="shared" si="42"/>
        <v>0.7114298799871667</v>
      </c>
      <c r="T67" s="35">
        <f t="shared" si="42"/>
        <v>0.6818529903176459</v>
      </c>
      <c r="U67" s="35">
        <f t="shared" si="42"/>
        <v>0.6703041285603503</v>
      </c>
      <c r="V67" s="35">
        <f t="shared" si="42"/>
        <v>0.615361010779101</v>
      </c>
      <c r="W67" s="35">
        <f t="shared" si="42"/>
        <v>0.5655401650212335</v>
      </c>
      <c r="X67" s="35">
        <f t="shared" si="42"/>
        <v>0.5792721070050325</v>
      </c>
      <c r="Y67" s="35">
        <f t="shared" si="42"/>
        <v>0.6691850936545206</v>
      </c>
      <c r="Z67" s="35">
        <f>Y67/$Y$70</f>
        <v>1.0795351601556138</v>
      </c>
      <c r="AA67" s="20"/>
      <c r="AB67" s="20"/>
      <c r="AC67" s="21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3"/>
      <c r="AR67" s="33"/>
      <c r="AS67" s="33"/>
      <c r="AT67" s="33"/>
      <c r="AU67" s="33"/>
      <c r="AV67" s="33"/>
      <c r="AW67" s="33"/>
    </row>
    <row r="68" spans="1:49" ht="12.75">
      <c r="A68" s="10" t="s">
        <v>152</v>
      </c>
      <c r="D68" s="34"/>
      <c r="E68" s="34"/>
      <c r="F68" s="34"/>
      <c r="G68" s="34">
        <f aca="true" t="shared" si="43" ref="G68:Y68">G49/G16</f>
        <v>20713546.248860374</v>
      </c>
      <c r="H68" s="34">
        <f t="shared" si="43"/>
        <v>20507832.502965663</v>
      </c>
      <c r="I68" s="34">
        <f t="shared" si="43"/>
        <v>20900312.413188998</v>
      </c>
      <c r="J68" s="34">
        <f t="shared" si="43"/>
        <v>23291762.941301662</v>
      </c>
      <c r="K68" s="34">
        <f t="shared" si="43"/>
        <v>26856561.49348349</v>
      </c>
      <c r="L68" s="34">
        <f t="shared" si="43"/>
        <v>22632820.63731612</v>
      </c>
      <c r="M68" s="34">
        <f t="shared" si="43"/>
        <v>21764001.91686805</v>
      </c>
      <c r="N68" s="34">
        <f t="shared" si="43"/>
        <v>23645996.17374756</v>
      </c>
      <c r="O68" s="34">
        <f t="shared" si="43"/>
        <v>22486646.03102977</v>
      </c>
      <c r="P68" s="34">
        <f t="shared" si="43"/>
        <v>20139556.463487092</v>
      </c>
      <c r="Q68" s="34">
        <f t="shared" si="43"/>
        <v>18352979.02632079</v>
      </c>
      <c r="R68" s="34">
        <f t="shared" si="43"/>
        <v>18304559.617597695</v>
      </c>
      <c r="S68" s="34">
        <f t="shared" si="43"/>
        <v>19876454.63591108</v>
      </c>
      <c r="T68" s="34">
        <f t="shared" si="43"/>
        <v>20505395.609883167</v>
      </c>
      <c r="U68" s="34">
        <f t="shared" si="43"/>
        <v>19502892.919069916</v>
      </c>
      <c r="V68" s="34">
        <f t="shared" si="43"/>
        <v>19816678.174884398</v>
      </c>
      <c r="W68" s="34">
        <f t="shared" si="43"/>
        <v>18672020.865237832</v>
      </c>
      <c r="X68" s="34">
        <f t="shared" si="43"/>
        <v>17345593.079995252</v>
      </c>
      <c r="Y68" s="34">
        <f t="shared" si="43"/>
        <v>17475934.217022244</v>
      </c>
      <c r="Z68" s="35"/>
      <c r="AA68" s="20"/>
      <c r="AB68" s="20"/>
      <c r="AC68" s="21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3"/>
      <c r="AR68" s="33"/>
      <c r="AS68" s="33"/>
      <c r="AT68" s="33"/>
      <c r="AU68" s="33"/>
      <c r="AV68" s="33"/>
      <c r="AW68" s="33"/>
    </row>
    <row r="69" spans="1:49" ht="12.75">
      <c r="A69" s="10" t="s">
        <v>151</v>
      </c>
      <c r="D69" s="34"/>
      <c r="E69" s="34"/>
      <c r="F69" s="34"/>
      <c r="G69" s="34"/>
      <c r="H69" s="35">
        <f>H68/$G$68</f>
        <v>0.9900686370444158</v>
      </c>
      <c r="I69" s="35">
        <f aca="true" t="shared" si="44" ref="I69:Y69">I68/$G$68</f>
        <v>1.0090166194665435</v>
      </c>
      <c r="J69" s="35">
        <f t="shared" si="44"/>
        <v>1.1244700768021862</v>
      </c>
      <c r="K69" s="35">
        <f t="shared" si="44"/>
        <v>1.2965699436889564</v>
      </c>
      <c r="L69" s="35">
        <f t="shared" si="44"/>
        <v>1.092657933383152</v>
      </c>
      <c r="M69" s="35">
        <f t="shared" si="44"/>
        <v>1.0507134633242954</v>
      </c>
      <c r="N69" s="35">
        <f t="shared" si="44"/>
        <v>1.141571601967892</v>
      </c>
      <c r="O69" s="35">
        <f t="shared" si="44"/>
        <v>1.085600976330499</v>
      </c>
      <c r="P69" s="35">
        <f t="shared" si="44"/>
        <v>0.9722891590615556</v>
      </c>
      <c r="Q69" s="35">
        <f t="shared" si="44"/>
        <v>0.8860375140896282</v>
      </c>
      <c r="R69" s="35">
        <f t="shared" si="44"/>
        <v>0.8836999419452274</v>
      </c>
      <c r="S69" s="35">
        <f t="shared" si="44"/>
        <v>0.9595872380860255</v>
      </c>
      <c r="T69" s="35">
        <f t="shared" si="44"/>
        <v>0.9899509897302757</v>
      </c>
      <c r="U69" s="35">
        <f t="shared" si="44"/>
        <v>0.9415525803623768</v>
      </c>
      <c r="V69" s="35">
        <f t="shared" si="44"/>
        <v>0.9567013748780308</v>
      </c>
      <c r="W69" s="35">
        <f t="shared" si="44"/>
        <v>0.9014400837454445</v>
      </c>
      <c r="X69" s="35">
        <f t="shared" si="44"/>
        <v>0.8374033529362255</v>
      </c>
      <c r="Y69" s="35">
        <f t="shared" si="44"/>
        <v>0.8436959083229769</v>
      </c>
      <c r="Z69" s="35">
        <f>Y69/$Y$70</f>
        <v>1.3610575103220968</v>
      </c>
      <c r="AA69" s="20"/>
      <c r="AB69" s="20"/>
      <c r="AC69" s="21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3"/>
      <c r="AR69" s="33"/>
      <c r="AS69" s="33"/>
      <c r="AT69" s="33"/>
      <c r="AU69" s="33"/>
      <c r="AV69" s="33"/>
      <c r="AW69" s="33"/>
    </row>
    <row r="70" spans="1:49" ht="12.75">
      <c r="A70" s="10" t="s">
        <v>153</v>
      </c>
      <c r="D70" s="34"/>
      <c r="E70" s="34"/>
      <c r="F70" s="34"/>
      <c r="G70" s="34"/>
      <c r="H70" s="35">
        <f>(H4/H16)/$G$4</f>
        <v>0.9527059589450289</v>
      </c>
      <c r="I70" s="35">
        <f aca="true" t="shared" si="45" ref="I70:Y70">(I4/I16)/$G$4</f>
        <v>0.8216582100684842</v>
      </c>
      <c r="J70" s="35">
        <f t="shared" si="45"/>
        <v>0.9282137831582782</v>
      </c>
      <c r="K70" s="35">
        <f t="shared" si="45"/>
        <v>0.9497799924614364</v>
      </c>
      <c r="L70" s="35">
        <f t="shared" si="45"/>
        <v>0.7953746219560023</v>
      </c>
      <c r="M70" s="35">
        <f t="shared" si="45"/>
        <v>0.8047473861523108</v>
      </c>
      <c r="N70" s="35">
        <f t="shared" si="45"/>
        <v>0.9056983979745218</v>
      </c>
      <c r="O70" s="35">
        <f t="shared" si="45"/>
        <v>0.8489950941041464</v>
      </c>
      <c r="P70" s="35">
        <f t="shared" si="45"/>
        <v>0.7744759732665472</v>
      </c>
      <c r="Q70" s="35">
        <f t="shared" si="45"/>
        <v>0.6991162305530535</v>
      </c>
      <c r="R70" s="35">
        <f t="shared" si="45"/>
        <v>0.7171356190160341</v>
      </c>
      <c r="S70" s="35">
        <f t="shared" si="45"/>
        <v>0.7415632649304074</v>
      </c>
      <c r="T70" s="35">
        <f t="shared" si="45"/>
        <v>0.7420499859408801</v>
      </c>
      <c r="U70" s="35">
        <f t="shared" si="45"/>
        <v>0.708832576423954</v>
      </c>
      <c r="V70" s="35">
        <f t="shared" si="45"/>
        <v>0.6843775136938719</v>
      </c>
      <c r="W70" s="35">
        <f t="shared" si="45"/>
        <v>0.6390654337919587</v>
      </c>
      <c r="X70" s="35">
        <f t="shared" si="45"/>
        <v>0.6115533511837977</v>
      </c>
      <c r="Y70" s="35">
        <f t="shared" si="45"/>
        <v>0.6198826294440084</v>
      </c>
      <c r="Z70" s="35">
        <f>Y70/$Y$70</f>
        <v>1</v>
      </c>
      <c r="AA70" s="20"/>
      <c r="AB70" s="20"/>
      <c r="AC70" s="21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  <c r="AR70" s="33"/>
      <c r="AS70" s="33"/>
      <c r="AT70" s="33"/>
      <c r="AU70" s="33"/>
      <c r="AV70" s="33"/>
      <c r="AW70" s="33"/>
    </row>
    <row r="71" spans="1:49" ht="12.75">
      <c r="A71" s="10" t="s">
        <v>154</v>
      </c>
      <c r="D71" s="34"/>
      <c r="E71" s="34"/>
      <c r="F71" s="34"/>
      <c r="G71" s="35">
        <f>(G81/$G$81)/G16</f>
        <v>1</v>
      </c>
      <c r="H71" s="35">
        <f aca="true" t="shared" si="46" ref="H71:X71">(H81/$G$81)/H16</f>
        <v>0.7820204851938927</v>
      </c>
      <c r="I71" s="35">
        <f t="shared" si="46"/>
        <v>0.8606798339170698</v>
      </c>
      <c r="J71" s="35">
        <f t="shared" si="46"/>
        <v>0.7134091094670224</v>
      </c>
      <c r="K71" s="35">
        <f t="shared" si="46"/>
        <v>0.701714772858612</v>
      </c>
      <c r="L71" s="35">
        <f t="shared" si="46"/>
        <v>0.631521377901535</v>
      </c>
      <c r="M71" s="35">
        <f t="shared" si="46"/>
        <v>0.6558056692783727</v>
      </c>
      <c r="N71" s="35">
        <f t="shared" si="46"/>
        <v>0.6698189619647043</v>
      </c>
      <c r="O71" s="35">
        <f t="shared" si="46"/>
        <v>0.6462335670539959</v>
      </c>
      <c r="P71" s="35">
        <f t="shared" si="46"/>
        <v>0.5902299526158471</v>
      </c>
      <c r="Q71" s="35">
        <f t="shared" si="46"/>
        <v>0.5550382395259646</v>
      </c>
      <c r="R71" s="35">
        <f t="shared" si="46"/>
        <v>0.5625637266224525</v>
      </c>
      <c r="S71" s="35">
        <f t="shared" si="46"/>
        <v>0.5658502842847816</v>
      </c>
      <c r="T71" s="35">
        <f t="shared" si="46"/>
        <v>0.5351282286888595</v>
      </c>
      <c r="U71" s="35">
        <f t="shared" si="46"/>
        <v>0.48333272310255815</v>
      </c>
      <c r="V71" s="35">
        <f t="shared" si="46"/>
        <v>0.4471560464597589</v>
      </c>
      <c r="W71" s="35">
        <f t="shared" si="46"/>
        <v>0.41707247767654604</v>
      </c>
      <c r="X71" s="35">
        <f t="shared" si="46"/>
        <v>0.35868481366438676</v>
      </c>
      <c r="Y71" s="35">
        <f>(Y81/$G$81)/Y16</f>
        <v>0.3625924394501496</v>
      </c>
      <c r="Z71" s="35">
        <f>Y71/$Y$70</f>
        <v>0.5849372481615911</v>
      </c>
      <c r="AA71" s="20"/>
      <c r="AB71" s="20"/>
      <c r="AC71" s="21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3"/>
      <c r="AR71" s="33"/>
      <c r="AS71" s="33"/>
      <c r="AT71" s="33"/>
      <c r="AU71" s="33"/>
      <c r="AV71" s="33"/>
      <c r="AW71" s="33"/>
    </row>
    <row r="72" spans="1:42" ht="12.75">
      <c r="A72" t="s">
        <v>58</v>
      </c>
      <c r="G72">
        <v>9274547</v>
      </c>
      <c r="H72">
        <v>9638564</v>
      </c>
      <c r="I72">
        <v>10386902</v>
      </c>
      <c r="J72">
        <v>12621795</v>
      </c>
      <c r="K72">
        <v>15645584</v>
      </c>
      <c r="L72">
        <v>13302013</v>
      </c>
      <c r="M72" s="5">
        <v>13527558</v>
      </c>
      <c r="N72" s="5">
        <v>12521647</v>
      </c>
      <c r="O72" s="5">
        <v>11288567</v>
      </c>
      <c r="P72" s="5">
        <v>10310008</v>
      </c>
      <c r="Q72" s="5">
        <v>8429801</v>
      </c>
      <c r="R72" s="5">
        <v>7799279</v>
      </c>
      <c r="S72" s="5">
        <v>8709302</v>
      </c>
      <c r="T72" s="5">
        <v>8501211</v>
      </c>
      <c r="U72" s="5">
        <v>7422354</v>
      </c>
      <c r="V72" s="5">
        <v>7758785</v>
      </c>
      <c r="W72" s="5">
        <v>7243332</v>
      </c>
      <c r="X72" s="5">
        <v>6913371</v>
      </c>
      <c r="Y72" s="5">
        <v>7240054</v>
      </c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10" t="s">
        <v>138</v>
      </c>
      <c r="G73" s="29">
        <f aca="true" t="shared" si="47" ref="G73:Y73">G72/(G52*1000)</f>
        <v>0.00014777908104136967</v>
      </c>
      <c r="H73" s="29">
        <f t="shared" si="47"/>
        <v>0.00015175151351783935</v>
      </c>
      <c r="I73" s="29">
        <f t="shared" si="47"/>
        <v>0.00016200426511796593</v>
      </c>
      <c r="J73" s="29">
        <f t="shared" si="47"/>
        <v>0.00019283667493510755</v>
      </c>
      <c r="K73" s="29">
        <f t="shared" si="47"/>
        <v>0.00024096303005806491</v>
      </c>
      <c r="L73" s="29">
        <f t="shared" si="47"/>
        <v>0.00020614056212502042</v>
      </c>
      <c r="M73" s="29">
        <f t="shared" si="47"/>
        <v>0.0001998016363384764</v>
      </c>
      <c r="N73" s="29">
        <f t="shared" si="47"/>
        <v>0.00018516266670562655</v>
      </c>
      <c r="O73" s="29">
        <f t="shared" si="47"/>
        <v>0.00016834945276425148</v>
      </c>
      <c r="P73" s="29">
        <f t="shared" si="47"/>
        <v>0.0001701388075806995</v>
      </c>
      <c r="Q73" s="29">
        <f t="shared" si="47"/>
        <v>0.00015807748413613744</v>
      </c>
      <c r="R73" s="29">
        <f t="shared" si="47"/>
        <v>0.0001474398595819323</v>
      </c>
      <c r="S73" s="29">
        <f t="shared" si="47"/>
        <v>0.00015772377264499987</v>
      </c>
      <c r="T73" s="29">
        <f t="shared" si="47"/>
        <v>0.00015426218225904817</v>
      </c>
      <c r="U73" s="29">
        <f t="shared" si="47"/>
        <v>0.00013392385729081748</v>
      </c>
      <c r="V73" s="29">
        <f t="shared" si="47"/>
        <v>0.0001395839821511774</v>
      </c>
      <c r="W73" s="29">
        <f t="shared" si="47"/>
        <v>0.00013073549286989067</v>
      </c>
      <c r="X73" s="29">
        <f t="shared" si="47"/>
        <v>0.00012663876244976968</v>
      </c>
      <c r="Y73" s="29">
        <f t="shared" si="47"/>
        <v>0.00013279874533268167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10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t="s">
        <v>52</v>
      </c>
      <c r="B75">
        <v>56</v>
      </c>
      <c r="C75">
        <v>55</v>
      </c>
      <c r="D75">
        <v>54</v>
      </c>
      <c r="E75">
        <v>51</v>
      </c>
      <c r="F75">
        <v>52</v>
      </c>
      <c r="G75">
        <v>52</v>
      </c>
      <c r="H75">
        <v>52</v>
      </c>
      <c r="I75">
        <v>50</v>
      </c>
      <c r="J75">
        <v>49</v>
      </c>
      <c r="K75">
        <v>49</v>
      </c>
      <c r="L75">
        <v>49</v>
      </c>
      <c r="M75" s="5">
        <v>60</v>
      </c>
      <c r="N75" s="5">
        <v>57</v>
      </c>
      <c r="O75" s="5">
        <v>54</v>
      </c>
      <c r="P75" s="5">
        <v>54</v>
      </c>
      <c r="Q75" s="5">
        <v>52</v>
      </c>
      <c r="R75" s="5">
        <v>103</v>
      </c>
      <c r="S75" s="5">
        <v>100</v>
      </c>
      <c r="T75" s="5">
        <v>100</v>
      </c>
      <c r="U75" s="5">
        <v>98</v>
      </c>
      <c r="V75">
        <v>98</v>
      </c>
      <c r="W75" s="5">
        <f>84+10+4</f>
        <v>98</v>
      </c>
      <c r="X75" s="5">
        <v>98</v>
      </c>
      <c r="Y75" s="5">
        <v>93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t="s">
        <v>57</v>
      </c>
      <c r="B76">
        <v>6565250</v>
      </c>
      <c r="C76">
        <v>6565250</v>
      </c>
      <c r="D76">
        <v>6565250</v>
      </c>
      <c r="E76">
        <v>6460250</v>
      </c>
      <c r="F76">
        <v>6460250</v>
      </c>
      <c r="G76">
        <v>6460250</v>
      </c>
      <c r="H76">
        <v>6460250</v>
      </c>
      <c r="I76">
        <v>6460250</v>
      </c>
      <c r="J76">
        <v>6355250</v>
      </c>
      <c r="K76">
        <v>6355250</v>
      </c>
      <c r="L76">
        <v>6355250</v>
      </c>
      <c r="M76" s="5">
        <v>7480450</v>
      </c>
      <c r="N76" s="5">
        <v>7254950</v>
      </c>
      <c r="O76" s="5">
        <v>7108950</v>
      </c>
      <c r="P76" s="5">
        <v>7145222</v>
      </c>
      <c r="Q76" s="5">
        <v>6927472</v>
      </c>
      <c r="R76" s="5">
        <f>5172875+1322972+123000</f>
        <v>6618847</v>
      </c>
      <c r="S76" s="5">
        <f>5172875+1322972+123000</f>
        <v>6618847</v>
      </c>
      <c r="T76" s="5">
        <f>5172875+1112972+123000</f>
        <v>6408847</v>
      </c>
      <c r="U76" s="5">
        <f>5389075+896772+123000</f>
        <v>6408847</v>
      </c>
      <c r="V76">
        <f>5332700+896772+179375</f>
        <v>6408847</v>
      </c>
      <c r="W76" s="5">
        <f>5392650+834022+179375</f>
        <v>6406047</v>
      </c>
      <c r="X76" s="5">
        <f>5646185+179375</f>
        <v>5825560</v>
      </c>
      <c r="Y76" s="5">
        <f>5646185+179375</f>
        <v>5825560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t="s">
        <v>59</v>
      </c>
      <c r="G77">
        <v>1606680</v>
      </c>
      <c r="H77">
        <v>1269536</v>
      </c>
      <c r="I77">
        <v>1480609</v>
      </c>
      <c r="J77">
        <v>1186165</v>
      </c>
      <c r="K77">
        <v>1170939</v>
      </c>
      <c r="L77">
        <v>1190588</v>
      </c>
      <c r="M77" s="5">
        <v>1324456</v>
      </c>
      <c r="N77" s="5">
        <v>1304079</v>
      </c>
      <c r="O77" s="5">
        <v>1282780</v>
      </c>
      <c r="P77" s="5">
        <v>1209061</v>
      </c>
      <c r="Q77" s="5">
        <v>1163205</v>
      </c>
      <c r="R77" s="5">
        <v>1222787</v>
      </c>
      <c r="S77" s="5">
        <v>1226931</v>
      </c>
      <c r="T77" s="5">
        <v>1107307</v>
      </c>
      <c r="U77" s="5">
        <v>981685</v>
      </c>
      <c r="V77" s="5">
        <v>907295</v>
      </c>
      <c r="W77" s="5">
        <v>864933</v>
      </c>
      <c r="X77" s="5">
        <v>784613</v>
      </c>
      <c r="Y77" s="5">
        <v>802401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2.75">
      <c r="A78" t="s">
        <v>137</v>
      </c>
      <c r="G78" s="28">
        <f>G77/(G76*1000)</f>
        <v>0.00024870244959560386</v>
      </c>
      <c r="H78" s="28">
        <f aca="true" t="shared" si="48" ref="H78:Y78">H77/(H76*1000)</f>
        <v>0.00019651499554970784</v>
      </c>
      <c r="I78" s="28">
        <f t="shared" si="48"/>
        <v>0.00022918757014047444</v>
      </c>
      <c r="J78" s="28">
        <f t="shared" si="48"/>
        <v>0.0001866433263836985</v>
      </c>
      <c r="K78" s="28">
        <f t="shared" si="48"/>
        <v>0.00018424751189961055</v>
      </c>
      <c r="L78" s="28">
        <f t="shared" si="48"/>
        <v>0.00018733928641674207</v>
      </c>
      <c r="M78" s="28">
        <f t="shared" si="48"/>
        <v>0.00017705565841627174</v>
      </c>
      <c r="N78" s="28">
        <f t="shared" si="48"/>
        <v>0.00017975023949165741</v>
      </c>
      <c r="O78" s="28">
        <f t="shared" si="48"/>
        <v>0.00018044577609914263</v>
      </c>
      <c r="P78" s="28">
        <f t="shared" si="48"/>
        <v>0.00016921251711983197</v>
      </c>
      <c r="Q78" s="28">
        <f t="shared" si="48"/>
        <v>0.00016791190206181996</v>
      </c>
      <c r="R78" s="28">
        <f t="shared" si="48"/>
        <v>0.00018474320376343493</v>
      </c>
      <c r="S78" s="28">
        <f t="shared" si="48"/>
        <v>0.00018536929468229135</v>
      </c>
      <c r="T78" s="28">
        <f t="shared" si="48"/>
        <v>0.00017277788032699174</v>
      </c>
      <c r="U78" s="28">
        <f t="shared" si="48"/>
        <v>0.00015317653861919312</v>
      </c>
      <c r="V78" s="28">
        <f t="shared" si="48"/>
        <v>0.00014156914652510818</v>
      </c>
      <c r="W78" s="28">
        <f t="shared" si="48"/>
        <v>0.0001350182101380149</v>
      </c>
      <c r="X78" s="28">
        <f t="shared" si="48"/>
        <v>0.00013468456251416173</v>
      </c>
      <c r="Y78" s="28">
        <f t="shared" si="48"/>
        <v>0.00013773800287011033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2.75">
      <c r="A79" t="s">
        <v>140</v>
      </c>
      <c r="G79" s="4">
        <f aca="true" t="shared" si="49" ref="G79:Y79">G76/G52</f>
        <v>0.10293654324006427</v>
      </c>
      <c r="H79" s="4">
        <f t="shared" si="49"/>
        <v>0.10171149096521241</v>
      </c>
      <c r="I79" s="4">
        <f t="shared" si="49"/>
        <v>0.10076036663562817</v>
      </c>
      <c r="J79" s="4">
        <f t="shared" si="49"/>
        <v>0.09709595809323018</v>
      </c>
      <c r="K79" s="4">
        <f t="shared" si="49"/>
        <v>0.09787939502779296</v>
      </c>
      <c r="L79" s="4">
        <f t="shared" si="49"/>
        <v>0.09848695888697719</v>
      </c>
      <c r="M79" s="4">
        <f t="shared" si="49"/>
        <v>0.11048602789565978</v>
      </c>
      <c r="N79" s="4">
        <f t="shared" si="49"/>
        <v>0.10728188462875414</v>
      </c>
      <c r="O79" s="4">
        <f t="shared" si="49"/>
        <v>0.1060176940286952</v>
      </c>
      <c r="P79" s="4">
        <f t="shared" si="49"/>
        <v>0.11791257106487024</v>
      </c>
      <c r="Q79" s="4">
        <f t="shared" si="49"/>
        <v>0.1299054799969224</v>
      </c>
      <c r="R79" s="4">
        <f t="shared" si="49"/>
        <v>0.12512462655513334</v>
      </c>
      <c r="S79" s="4">
        <f t="shared" si="49"/>
        <v>0.11986603741609138</v>
      </c>
      <c r="T79" s="4">
        <f t="shared" si="49"/>
        <v>0.11629434018098764</v>
      </c>
      <c r="U79" s="4">
        <f t="shared" si="49"/>
        <v>0.11563683314305456</v>
      </c>
      <c r="V79" s="4">
        <f t="shared" si="49"/>
        <v>0.11529799901113728</v>
      </c>
      <c r="W79" s="4">
        <f t="shared" si="49"/>
        <v>0.11562326728813266</v>
      </c>
      <c r="X79" s="4">
        <f t="shared" si="49"/>
        <v>0.1067122983819153</v>
      </c>
      <c r="Y79" s="4">
        <f t="shared" si="49"/>
        <v>0.10685376916529311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.75">
      <c r="A80" t="s">
        <v>141</v>
      </c>
      <c r="G80" s="6">
        <f aca="true" t="shared" si="50" ref="G80:Y80">(G36*G79)/3</f>
        <v>421095.72762184666</v>
      </c>
      <c r="H80" s="6">
        <f t="shared" si="50"/>
        <v>411371.88788198936</v>
      </c>
      <c r="I80" s="6">
        <f t="shared" si="50"/>
        <v>404277.9305882873</v>
      </c>
      <c r="J80" s="6">
        <f t="shared" si="50"/>
        <v>405132.04364569945</v>
      </c>
      <c r="K80" s="6">
        <f t="shared" si="50"/>
        <v>508106.8172573175</v>
      </c>
      <c r="L80" s="6">
        <f t="shared" si="50"/>
        <v>499782.51248960773</v>
      </c>
      <c r="M80" s="6">
        <f t="shared" si="50"/>
        <v>537301.545479278</v>
      </c>
      <c r="N80" s="6">
        <f t="shared" si="50"/>
        <v>583878.2598323146</v>
      </c>
      <c r="O80" s="6">
        <f t="shared" si="50"/>
        <v>551803.4383052095</v>
      </c>
      <c r="P80" s="6">
        <f t="shared" si="50"/>
        <v>562282.8780121153</v>
      </c>
      <c r="Q80" s="6">
        <f t="shared" si="50"/>
        <v>525034.605019068</v>
      </c>
      <c r="R80" s="6">
        <f t="shared" si="50"/>
        <v>499750.13582910714</v>
      </c>
      <c r="S80" s="6">
        <f t="shared" si="50"/>
        <v>505669.38263030886</v>
      </c>
      <c r="T80" s="6">
        <f t="shared" si="50"/>
        <v>531224.2502838186</v>
      </c>
      <c r="U80" s="6">
        <f t="shared" si="50"/>
        <v>508052.35369456257</v>
      </c>
      <c r="V80" s="6">
        <f t="shared" si="50"/>
        <v>507207.19685389596</v>
      </c>
      <c r="W80" s="6">
        <f t="shared" si="50"/>
        <v>479776.82055765163</v>
      </c>
      <c r="X80" s="6">
        <f t="shared" si="50"/>
        <v>379118.7744243336</v>
      </c>
      <c r="Y80" s="6">
        <f t="shared" si="50"/>
        <v>388713.95933265635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>
      <c r="A81" t="s">
        <v>142</v>
      </c>
      <c r="G81" s="6">
        <f>G77+G80</f>
        <v>2027775.7276218466</v>
      </c>
      <c r="H81" s="6">
        <f aca="true" t="shared" si="51" ref="H81:Y81">H77+H80</f>
        <v>1680907.8878819894</v>
      </c>
      <c r="I81" s="6">
        <f t="shared" si="51"/>
        <v>1884886.9305882873</v>
      </c>
      <c r="J81" s="6">
        <f t="shared" si="51"/>
        <v>1591297.0436456995</v>
      </c>
      <c r="K81" s="6">
        <f t="shared" si="51"/>
        <v>1679045.8172573175</v>
      </c>
      <c r="L81" s="6">
        <f t="shared" si="51"/>
        <v>1690370.5124896078</v>
      </c>
      <c r="M81" s="6">
        <f t="shared" si="51"/>
        <v>1861757.545479278</v>
      </c>
      <c r="N81" s="6">
        <f t="shared" si="51"/>
        <v>1887957.2598323147</v>
      </c>
      <c r="O81" s="6">
        <f t="shared" si="51"/>
        <v>1834583.4383052094</v>
      </c>
      <c r="P81" s="6">
        <f t="shared" si="51"/>
        <v>1771343.8780121151</v>
      </c>
      <c r="Q81" s="6">
        <f t="shared" si="51"/>
        <v>1688239.6050190679</v>
      </c>
      <c r="R81" s="6">
        <f t="shared" si="51"/>
        <v>1722537.1358291071</v>
      </c>
      <c r="S81" s="6">
        <f t="shared" si="51"/>
        <v>1732600.3826303089</v>
      </c>
      <c r="T81" s="6">
        <f t="shared" si="51"/>
        <v>1638531.2502838187</v>
      </c>
      <c r="U81" s="6">
        <f t="shared" si="51"/>
        <v>1489737.3536945626</v>
      </c>
      <c r="V81" s="6">
        <f t="shared" si="51"/>
        <v>1414502.196853896</v>
      </c>
      <c r="W81" s="6">
        <f t="shared" si="51"/>
        <v>1344709.8205576516</v>
      </c>
      <c r="X81" s="6">
        <f t="shared" si="51"/>
        <v>1163731.7744243336</v>
      </c>
      <c r="Y81" s="6">
        <f t="shared" si="51"/>
        <v>1191114.9593326563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>
      <c r="A82" t="s">
        <v>53</v>
      </c>
      <c r="B82">
        <f aca="true" t="shared" si="52" ref="B82:Y82">B37+B41+B75</f>
        <v>1266</v>
      </c>
      <c r="C82">
        <f t="shared" si="52"/>
        <v>1212</v>
      </c>
      <c r="D82">
        <f t="shared" si="52"/>
        <v>1223</v>
      </c>
      <c r="E82">
        <f t="shared" si="52"/>
        <v>1208</v>
      </c>
      <c r="F82">
        <f t="shared" si="52"/>
        <v>1219</v>
      </c>
      <c r="G82">
        <f t="shared" si="52"/>
        <v>1225</v>
      </c>
      <c r="H82">
        <f t="shared" si="52"/>
        <v>1202</v>
      </c>
      <c r="I82">
        <f t="shared" si="52"/>
        <v>1201</v>
      </c>
      <c r="J82">
        <f t="shared" si="52"/>
        <v>1215</v>
      </c>
      <c r="K82">
        <f t="shared" si="52"/>
        <v>1198</v>
      </c>
      <c r="L82">
        <f t="shared" si="52"/>
        <v>1144</v>
      </c>
      <c r="M82">
        <f t="shared" si="52"/>
        <v>1130</v>
      </c>
      <c r="N82">
        <f t="shared" si="52"/>
        <v>1038</v>
      </c>
      <c r="O82">
        <f t="shared" si="52"/>
        <v>1003</v>
      </c>
      <c r="P82">
        <f t="shared" si="52"/>
        <v>851</v>
      </c>
      <c r="Q82">
        <f t="shared" si="52"/>
        <v>649</v>
      </c>
      <c r="R82">
        <f t="shared" si="52"/>
        <v>794</v>
      </c>
      <c r="S82">
        <f t="shared" si="52"/>
        <v>871</v>
      </c>
      <c r="T82">
        <f t="shared" si="52"/>
        <v>907</v>
      </c>
      <c r="U82">
        <f t="shared" si="52"/>
        <v>905</v>
      </c>
      <c r="V82">
        <f t="shared" si="52"/>
        <v>911</v>
      </c>
      <c r="W82">
        <f t="shared" si="52"/>
        <v>911</v>
      </c>
      <c r="X82">
        <f t="shared" si="52"/>
        <v>907</v>
      </c>
      <c r="Y82">
        <f t="shared" si="52"/>
        <v>901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>
      <c r="A83" t="s">
        <v>64</v>
      </c>
      <c r="M83" s="5"/>
      <c r="N83" s="5"/>
      <c r="O83" s="5"/>
      <c r="P83" s="5"/>
      <c r="Q83" s="5">
        <f>117508448+14203487-18242104</f>
        <v>113469831</v>
      </c>
      <c r="R83" s="5">
        <f>121523038+5348234-9362824</f>
        <v>117508448</v>
      </c>
      <c r="S83" s="5">
        <f>120621593-178475+869541+210379</f>
        <v>121523038</v>
      </c>
      <c r="T83" s="5">
        <v>120621593</v>
      </c>
      <c r="U83" s="5">
        <v>122141468</v>
      </c>
      <c r="V83" s="6">
        <v>124658042</v>
      </c>
      <c r="W83" s="5">
        <f>V83+W42</f>
        <v>124307862</v>
      </c>
      <c r="X83" s="5">
        <f>W83+X42</f>
        <v>124349801</v>
      </c>
      <c r="Y83" s="5">
        <f>X83+Y42</f>
        <v>124389153</v>
      </c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68" ht="12.75">
      <c r="A84" t="s">
        <v>81</v>
      </c>
      <c r="G84">
        <f>1000*G72/(G21)</f>
        <v>0.5061443497128614</v>
      </c>
      <c r="H84">
        <f aca="true" t="shared" si="53" ref="H84:Y84">H72/(H21)</f>
        <v>0.530113998640088</v>
      </c>
      <c r="I84">
        <f t="shared" si="53"/>
        <v>0.6597195285873009</v>
      </c>
      <c r="J84">
        <f t="shared" si="53"/>
        <v>0.7442870676105149</v>
      </c>
      <c r="K84">
        <f t="shared" si="53"/>
        <v>0.9571941852730848</v>
      </c>
      <c r="L84">
        <f t="shared" si="53"/>
        <v>0.9003201947537821</v>
      </c>
      <c r="M84">
        <f t="shared" si="53"/>
        <v>0.8320125440691061</v>
      </c>
      <c r="N84">
        <f t="shared" si="53"/>
        <v>0.7483507818968114</v>
      </c>
      <c r="O84">
        <f t="shared" si="53"/>
        <v>0.7053014096760019</v>
      </c>
      <c r="P84">
        <f t="shared" si="53"/>
        <v>0.662522487833629</v>
      </c>
      <c r="Q84">
        <f t="shared" si="53"/>
        <v>0.5945406899007086</v>
      </c>
      <c r="R84">
        <f t="shared" si="53"/>
        <v>0.5011827077523682</v>
      </c>
      <c r="S84">
        <f t="shared" si="53"/>
        <v>0.5578471752864272</v>
      </c>
      <c r="T84">
        <f t="shared" si="53"/>
        <v>0.5817122182809801</v>
      </c>
      <c r="U84">
        <f t="shared" si="53"/>
        <v>0.5201021235089032</v>
      </c>
      <c r="V84">
        <f t="shared" si="53"/>
        <v>0.5349788208985521</v>
      </c>
      <c r="W84">
        <f t="shared" si="53"/>
        <v>0.5129133815892151</v>
      </c>
      <c r="X84">
        <f t="shared" si="53"/>
        <v>0.5144889366628376</v>
      </c>
      <c r="Y84">
        <f t="shared" si="53"/>
        <v>0.5053930410270683</v>
      </c>
      <c r="Z84" t="e">
        <f aca="true" t="shared" si="54" ref="Z84:BP84">Z72/(Z21)</f>
        <v>#DIV/0!</v>
      </c>
      <c r="AA84" t="e">
        <f t="shared" si="54"/>
        <v>#DIV/0!</v>
      </c>
      <c r="AB84" t="e">
        <f t="shared" si="54"/>
        <v>#DIV/0!</v>
      </c>
      <c r="AC84" t="e">
        <f t="shared" si="54"/>
        <v>#DIV/0!</v>
      </c>
      <c r="AD84" t="e">
        <f t="shared" si="54"/>
        <v>#DIV/0!</v>
      </c>
      <c r="AE84" t="e">
        <f t="shared" si="54"/>
        <v>#DIV/0!</v>
      </c>
      <c r="AF84" t="e">
        <f t="shared" si="54"/>
        <v>#DIV/0!</v>
      </c>
      <c r="AG84" t="e">
        <f t="shared" si="54"/>
        <v>#DIV/0!</v>
      </c>
      <c r="AH84" t="e">
        <f t="shared" si="54"/>
        <v>#DIV/0!</v>
      </c>
      <c r="AI84" t="e">
        <f t="shared" si="54"/>
        <v>#DIV/0!</v>
      </c>
      <c r="AJ84" t="e">
        <f t="shared" si="54"/>
        <v>#DIV/0!</v>
      </c>
      <c r="AK84" t="e">
        <f t="shared" si="54"/>
        <v>#DIV/0!</v>
      </c>
      <c r="AL84" t="e">
        <f t="shared" si="54"/>
        <v>#DIV/0!</v>
      </c>
      <c r="AM84" t="e">
        <f t="shared" si="54"/>
        <v>#DIV/0!</v>
      </c>
      <c r="AN84" t="e">
        <f t="shared" si="54"/>
        <v>#DIV/0!</v>
      </c>
      <c r="AO84" t="e">
        <f t="shared" si="54"/>
        <v>#DIV/0!</v>
      </c>
      <c r="AP84" t="e">
        <f t="shared" si="54"/>
        <v>#DIV/0!</v>
      </c>
      <c r="AQ84" t="e">
        <f t="shared" si="54"/>
        <v>#DIV/0!</v>
      </c>
      <c r="AR84" t="e">
        <f t="shared" si="54"/>
        <v>#DIV/0!</v>
      </c>
      <c r="AS84" t="e">
        <f t="shared" si="54"/>
        <v>#DIV/0!</v>
      </c>
      <c r="AT84" t="e">
        <f t="shared" si="54"/>
        <v>#DIV/0!</v>
      </c>
      <c r="AU84" t="e">
        <f t="shared" si="54"/>
        <v>#DIV/0!</v>
      </c>
      <c r="AV84" t="e">
        <f t="shared" si="54"/>
        <v>#DIV/0!</v>
      </c>
      <c r="AW84" t="e">
        <f t="shared" si="54"/>
        <v>#DIV/0!</v>
      </c>
      <c r="AX84" t="e">
        <f t="shared" si="54"/>
        <v>#DIV/0!</v>
      </c>
      <c r="AY84" t="e">
        <f t="shared" si="54"/>
        <v>#DIV/0!</v>
      </c>
      <c r="AZ84" t="e">
        <f t="shared" si="54"/>
        <v>#DIV/0!</v>
      </c>
      <c r="BA84" t="e">
        <f t="shared" si="54"/>
        <v>#DIV/0!</v>
      </c>
      <c r="BB84" t="e">
        <f t="shared" si="54"/>
        <v>#DIV/0!</v>
      </c>
      <c r="BC84" t="e">
        <f t="shared" si="54"/>
        <v>#DIV/0!</v>
      </c>
      <c r="BD84" t="e">
        <f t="shared" si="54"/>
        <v>#DIV/0!</v>
      </c>
      <c r="BE84" t="e">
        <f t="shared" si="54"/>
        <v>#DIV/0!</v>
      </c>
      <c r="BF84" t="e">
        <f t="shared" si="54"/>
        <v>#DIV/0!</v>
      </c>
      <c r="BG84" t="e">
        <f t="shared" si="54"/>
        <v>#DIV/0!</v>
      </c>
      <c r="BH84" t="e">
        <f t="shared" si="54"/>
        <v>#DIV/0!</v>
      </c>
      <c r="BI84" t="e">
        <f t="shared" si="54"/>
        <v>#DIV/0!</v>
      </c>
      <c r="BJ84" t="e">
        <f t="shared" si="54"/>
        <v>#DIV/0!</v>
      </c>
      <c r="BK84" t="e">
        <f t="shared" si="54"/>
        <v>#DIV/0!</v>
      </c>
      <c r="BL84" t="e">
        <f t="shared" si="54"/>
        <v>#DIV/0!</v>
      </c>
      <c r="BM84" t="e">
        <f t="shared" si="54"/>
        <v>#DIV/0!</v>
      </c>
      <c r="BN84" t="e">
        <f t="shared" si="54"/>
        <v>#DIV/0!</v>
      </c>
      <c r="BO84" t="e">
        <f t="shared" si="54"/>
        <v>#DIV/0!</v>
      </c>
      <c r="BP84" t="e">
        <f t="shared" si="54"/>
        <v>#DIV/0!</v>
      </c>
    </row>
    <row r="85" spans="1:42" ht="12.75">
      <c r="A85" t="s">
        <v>75</v>
      </c>
      <c r="G85" s="18">
        <f aca="true" t="shared" si="55" ref="G85:Y85">G72/G23</f>
        <v>0.1725671962967634</v>
      </c>
      <c r="H85" s="18">
        <f t="shared" si="55"/>
        <v>0.18420153564791564</v>
      </c>
      <c r="I85" s="18">
        <f t="shared" si="55"/>
        <v>0.20673667370829263</v>
      </c>
      <c r="J85" s="18">
        <f t="shared" si="55"/>
        <v>0.2286388278401549</v>
      </c>
      <c r="K85" s="18">
        <f t="shared" si="55"/>
        <v>0.2938078140834772</v>
      </c>
      <c r="L85" s="18">
        <f t="shared" si="55"/>
        <v>0.2876364909714406</v>
      </c>
      <c r="M85" s="18">
        <f t="shared" si="55"/>
        <v>0.26966180458201633</v>
      </c>
      <c r="N85" s="18">
        <f t="shared" si="55"/>
        <v>0.24200824575217364</v>
      </c>
      <c r="O85" s="18">
        <f t="shared" si="55"/>
        <v>0.2279501375638657</v>
      </c>
      <c r="P85" s="18">
        <f t="shared" si="55"/>
        <v>0.220247600408528</v>
      </c>
      <c r="Q85" s="18">
        <f t="shared" si="55"/>
        <v>0.1954817421540055</v>
      </c>
      <c r="R85" s="18">
        <f t="shared" si="55"/>
        <v>0.1714841078901855</v>
      </c>
      <c r="S85" s="18">
        <f t="shared" si="55"/>
        <v>0.19204121398031845</v>
      </c>
      <c r="T85" s="18">
        <f t="shared" si="55"/>
        <v>0.19792548691988532</v>
      </c>
      <c r="U85" s="18">
        <f t="shared" si="55"/>
        <v>0.179892545142647</v>
      </c>
      <c r="V85" s="18">
        <f t="shared" si="55"/>
        <v>0.18839884998485532</v>
      </c>
      <c r="W85" s="18">
        <f t="shared" si="55"/>
        <v>0.18502572168793657</v>
      </c>
      <c r="X85" s="18">
        <f t="shared" si="55"/>
        <v>0.18534370054912463</v>
      </c>
      <c r="Y85" s="18">
        <f t="shared" si="55"/>
        <v>0.18323171051144396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>
      <c r="A86" t="s">
        <v>78</v>
      </c>
      <c r="G86" s="18">
        <f>G36/G23</f>
        <v>0.22834843880181796</v>
      </c>
      <c r="H86" s="18">
        <f aca="true" t="shared" si="56" ref="H86:Y86">H36/H23</f>
        <v>0.23188184913989623</v>
      </c>
      <c r="I86" s="18">
        <f t="shared" si="56"/>
        <v>0.23957585124086167</v>
      </c>
      <c r="J86" s="18">
        <f t="shared" si="56"/>
        <v>0.2267490941565455</v>
      </c>
      <c r="K86" s="18">
        <f t="shared" si="56"/>
        <v>0.2924533251737495</v>
      </c>
      <c r="L86" s="18">
        <f t="shared" si="56"/>
        <v>0.3291927010376441</v>
      </c>
      <c r="M86" s="18">
        <f t="shared" si="56"/>
        <v>0.2908251869005944</v>
      </c>
      <c r="N86" s="18">
        <f t="shared" si="56"/>
        <v>0.3155628522138716</v>
      </c>
      <c r="O86" s="18">
        <f t="shared" si="56"/>
        <v>0.3153031771337433</v>
      </c>
      <c r="P86" s="18">
        <f t="shared" si="56"/>
        <v>0.30561044117226405</v>
      </c>
      <c r="Q86" s="18">
        <f t="shared" si="56"/>
        <v>0.28117104165751655</v>
      </c>
      <c r="R86" s="18">
        <f t="shared" si="56"/>
        <v>0.26345157742585595</v>
      </c>
      <c r="S86" s="18">
        <f t="shared" si="56"/>
        <v>0.27906338469932435</v>
      </c>
      <c r="T86" s="18">
        <f t="shared" si="56"/>
        <v>0.31905201702391667</v>
      </c>
      <c r="U86" s="18">
        <f t="shared" si="56"/>
        <v>0.31945157639744964</v>
      </c>
      <c r="V86" s="18">
        <f t="shared" si="56"/>
        <v>0.32045674838419047</v>
      </c>
      <c r="W86" s="18">
        <f t="shared" si="56"/>
        <v>0.3179867283656464</v>
      </c>
      <c r="X86" s="18">
        <f t="shared" si="56"/>
        <v>0.28573934106383936</v>
      </c>
      <c r="Y86" s="18">
        <f t="shared" si="56"/>
        <v>0.27619790253897025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>
      <c r="A87" t="s">
        <v>79</v>
      </c>
      <c r="G87" s="18">
        <f>G44/G23</f>
        <v>0.02222159991284361</v>
      </c>
      <c r="H87" s="18">
        <f aca="true" t="shared" si="57" ref="H87:Y87">H44/H23</f>
        <v>0.031478566191448176</v>
      </c>
      <c r="I87" s="18">
        <f t="shared" si="57"/>
        <v>0.04047412303637924</v>
      </c>
      <c r="J87" s="18">
        <f t="shared" si="57"/>
        <v>0.03755098294967409</v>
      </c>
      <c r="K87" s="18">
        <f t="shared" si="57"/>
        <v>0.04038882026036285</v>
      </c>
      <c r="L87" s="18">
        <f t="shared" si="57"/>
        <v>0.06573256660646291</v>
      </c>
      <c r="M87" s="18">
        <f t="shared" si="57"/>
        <v>0.08401462100124416</v>
      </c>
      <c r="N87" s="18">
        <f t="shared" si="57"/>
        <v>0.11416261552037923</v>
      </c>
      <c r="O87" s="18">
        <f t="shared" si="57"/>
        <v>0.1294947166252799</v>
      </c>
      <c r="P87" s="18">
        <f t="shared" si="57"/>
        <v>0.14872474589188897</v>
      </c>
      <c r="Q87" s="18">
        <f t="shared" si="57"/>
        <v>0.20088734908535003</v>
      </c>
      <c r="R87" s="18">
        <f t="shared" si="57"/>
        <v>0.21066101270290596</v>
      </c>
      <c r="S87" s="18">
        <f t="shared" si="57"/>
        <v>0.22889976245742413</v>
      </c>
      <c r="T87" s="18">
        <f t="shared" si="57"/>
        <v>0.24205589912172495</v>
      </c>
      <c r="U87" s="18">
        <f t="shared" si="57"/>
        <v>0.2552411100900977</v>
      </c>
      <c r="V87" s="18">
        <f t="shared" si="57"/>
        <v>0.2761456638016061</v>
      </c>
      <c r="W87" s="18">
        <f t="shared" si="57"/>
        <v>0.28970897721089306</v>
      </c>
      <c r="X87" s="18">
        <f t="shared" si="57"/>
        <v>0.3041573742396467</v>
      </c>
      <c r="Y87" s="18">
        <f t="shared" si="57"/>
        <v>0.2872119795115246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>
      <c r="A88" t="s">
        <v>94</v>
      </c>
      <c r="G88" s="18">
        <f>G45/G23</f>
        <v>0.02902368748804895</v>
      </c>
      <c r="H88" s="18">
        <f aca="true" t="shared" si="58" ref="H88:Y88">H45/H23</f>
        <v>0.04111423440687545</v>
      </c>
      <c r="I88" s="18">
        <f t="shared" si="58"/>
        <v>0.05230895493742563</v>
      </c>
      <c r="J88" s="18">
        <f t="shared" si="58"/>
        <v>0.06039349687663521</v>
      </c>
      <c r="K88" s="18">
        <f t="shared" si="58"/>
        <v>0.06495760959211787</v>
      </c>
      <c r="L88" s="18">
        <f t="shared" si="58"/>
        <v>0.10571812624348592</v>
      </c>
      <c r="M88" s="18">
        <f t="shared" si="58"/>
        <v>0.13512127652771247</v>
      </c>
      <c r="N88" s="18">
        <f t="shared" si="58"/>
        <v>0.18360849762837883</v>
      </c>
      <c r="O88" s="18">
        <f t="shared" si="58"/>
        <v>0.20826721831838163</v>
      </c>
      <c r="P88" s="18">
        <f t="shared" si="58"/>
        <v>0.23919500292543253</v>
      </c>
      <c r="Q88" s="18">
        <f t="shared" si="58"/>
        <v>0.3230884663072957</v>
      </c>
      <c r="R88" s="18">
        <f t="shared" si="58"/>
        <v>0.3388075148326358</v>
      </c>
      <c r="S88" s="18">
        <f t="shared" si="58"/>
        <v>0.3681410179744699</v>
      </c>
      <c r="T88" s="18">
        <f t="shared" si="58"/>
        <v>0.38930012051005164</v>
      </c>
      <c r="U88" s="18">
        <f t="shared" si="58"/>
        <v>0.41050598344321115</v>
      </c>
      <c r="V88" s="18">
        <f t="shared" si="58"/>
        <v>0.4441269169078675</v>
      </c>
      <c r="W88" s="18">
        <f t="shared" si="58"/>
        <v>0.4659408845240654</v>
      </c>
      <c r="X88" s="18">
        <f t="shared" si="58"/>
        <v>0.4891783380415371</v>
      </c>
      <c r="Y88" s="18">
        <f t="shared" si="58"/>
        <v>0.46192494643371296</v>
      </c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>
      <c r="A89" t="s">
        <v>80</v>
      </c>
      <c r="G89" s="18">
        <f>SUM(G85:G87)</f>
        <v>0.423137235011425</v>
      </c>
      <c r="H89" s="18">
        <f>SUM(H85:H87)</f>
        <v>0.44756195097926005</v>
      </c>
      <c r="I89" s="18">
        <f aca="true" t="shared" si="59" ref="I89:Y89">SUM(I85:I87)</f>
        <v>0.48678664798553356</v>
      </c>
      <c r="J89" s="18">
        <f t="shared" si="59"/>
        <v>0.4929389049463745</v>
      </c>
      <c r="K89" s="18">
        <f t="shared" si="59"/>
        <v>0.6266499595175896</v>
      </c>
      <c r="L89" s="18">
        <f t="shared" si="59"/>
        <v>0.6825617586155476</v>
      </c>
      <c r="M89" s="18">
        <f t="shared" si="59"/>
        <v>0.6445016124838548</v>
      </c>
      <c r="N89" s="18">
        <f t="shared" si="59"/>
        <v>0.6717337134864244</v>
      </c>
      <c r="O89" s="18">
        <f t="shared" si="59"/>
        <v>0.6727480313228889</v>
      </c>
      <c r="P89" s="18">
        <f t="shared" si="59"/>
        <v>0.6745827874726811</v>
      </c>
      <c r="Q89" s="18">
        <f t="shared" si="59"/>
        <v>0.6775401328968721</v>
      </c>
      <c r="R89" s="18">
        <f t="shared" si="59"/>
        <v>0.6455966980189474</v>
      </c>
      <c r="S89" s="18">
        <f t="shared" si="59"/>
        <v>0.700004361137067</v>
      </c>
      <c r="T89" s="18">
        <f t="shared" si="59"/>
        <v>0.759033403065527</v>
      </c>
      <c r="U89" s="18">
        <f t="shared" si="59"/>
        <v>0.7545852316301944</v>
      </c>
      <c r="V89" s="18">
        <f t="shared" si="59"/>
        <v>0.7850012621706519</v>
      </c>
      <c r="W89" s="18">
        <f t="shared" si="59"/>
        <v>0.792721427264476</v>
      </c>
      <c r="X89" s="18">
        <f t="shared" si="59"/>
        <v>0.7752404158526107</v>
      </c>
      <c r="Y89" s="18">
        <f t="shared" si="59"/>
        <v>0.7466415925619387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>
      <c r="A90" t="s">
        <v>97</v>
      </c>
      <c r="G90" s="18">
        <f>G85+G86+G88</f>
        <v>0.4299393225866303</v>
      </c>
      <c r="H90" s="18">
        <f aca="true" t="shared" si="60" ref="H90:Y90">H85+H86+H88</f>
        <v>0.4571976191946873</v>
      </c>
      <c r="I90" s="18">
        <f t="shared" si="60"/>
        <v>0.4986214798865799</v>
      </c>
      <c r="J90" s="18">
        <f t="shared" si="60"/>
        <v>0.5157814188733356</v>
      </c>
      <c r="K90" s="18">
        <f t="shared" si="60"/>
        <v>0.6512187488493446</v>
      </c>
      <c r="L90" s="18">
        <f t="shared" si="60"/>
        <v>0.7225473182525706</v>
      </c>
      <c r="M90" s="18">
        <f t="shared" si="60"/>
        <v>0.6956082680103232</v>
      </c>
      <c r="N90" s="18">
        <f t="shared" si="60"/>
        <v>0.741179595594424</v>
      </c>
      <c r="O90" s="18">
        <f t="shared" si="60"/>
        <v>0.7515205330159906</v>
      </c>
      <c r="P90" s="18">
        <f t="shared" si="60"/>
        <v>0.7650530445062246</v>
      </c>
      <c r="Q90" s="18">
        <f t="shared" si="60"/>
        <v>0.7997412501188177</v>
      </c>
      <c r="R90" s="18">
        <f t="shared" si="60"/>
        <v>0.7737432001486773</v>
      </c>
      <c r="S90" s="18">
        <f t="shared" si="60"/>
        <v>0.8392456166541127</v>
      </c>
      <c r="T90" s="18">
        <f t="shared" si="60"/>
        <v>0.9062776244538537</v>
      </c>
      <c r="U90" s="18">
        <f t="shared" si="60"/>
        <v>0.9098501049833079</v>
      </c>
      <c r="V90" s="18">
        <f t="shared" si="60"/>
        <v>0.9529825152769134</v>
      </c>
      <c r="W90" s="18">
        <f t="shared" si="60"/>
        <v>0.9689533345776484</v>
      </c>
      <c r="X90" s="18">
        <f t="shared" si="60"/>
        <v>0.9602613796545011</v>
      </c>
      <c r="Y90" s="18">
        <f t="shared" si="60"/>
        <v>0.9213545594841271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>
      <c r="A91" t="s">
        <v>48</v>
      </c>
      <c r="E91">
        <v>2124</v>
      </c>
      <c r="F91">
        <v>2182</v>
      </c>
      <c r="G91">
        <v>2271</v>
      </c>
      <c r="H91">
        <v>2328</v>
      </c>
      <c r="I91">
        <v>2229</v>
      </c>
      <c r="J91">
        <v>2251</v>
      </c>
      <c r="K91">
        <v>2255</v>
      </c>
      <c r="L91">
        <v>2320</v>
      </c>
      <c r="M91" s="5">
        <v>2558</v>
      </c>
      <c r="N91" s="5">
        <v>2644</v>
      </c>
      <c r="O91" s="5">
        <v>2717</v>
      </c>
      <c r="P91" s="5">
        <v>2871</v>
      </c>
      <c r="Q91" s="5">
        <v>2903</v>
      </c>
      <c r="R91" s="5">
        <v>2969</v>
      </c>
      <c r="S91" s="5">
        <v>3070</v>
      </c>
      <c r="T91" s="5">
        <v>3117</v>
      </c>
      <c r="U91" s="5">
        <v>3157</v>
      </c>
      <c r="V91" s="5">
        <v>3228</v>
      </c>
      <c r="W91" s="5">
        <v>3305</v>
      </c>
      <c r="X91" s="5">
        <v>3335</v>
      </c>
      <c r="Y91" s="5">
        <v>3414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>
      <c r="A92" t="s">
        <v>38</v>
      </c>
      <c r="I92">
        <v>1640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>
      <c r="A93" t="s">
        <v>39</v>
      </c>
      <c r="I93">
        <v>1790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>
      <c r="A94" t="s">
        <v>40</v>
      </c>
      <c r="I94">
        <v>939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>
      <c r="A95" t="s">
        <v>41</v>
      </c>
      <c r="I95">
        <v>2033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>
      <c r="A96" t="s">
        <v>42</v>
      </c>
      <c r="I96">
        <v>9710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>
      <c r="A97" t="s">
        <v>35</v>
      </c>
      <c r="M97" s="5">
        <v>4319080</v>
      </c>
      <c r="N97" s="5">
        <v>4375884</v>
      </c>
      <c r="O97" s="5">
        <v>4375346</v>
      </c>
      <c r="P97" s="5">
        <v>4507369</v>
      </c>
      <c r="Q97" s="5">
        <v>4607682</v>
      </c>
      <c r="R97" s="5">
        <v>4626376</v>
      </c>
      <c r="S97" s="5">
        <v>4543101</v>
      </c>
      <c r="T97" s="5">
        <v>4770131</v>
      </c>
      <c r="U97" s="5">
        <v>4867977</v>
      </c>
      <c r="V97" s="5">
        <v>4953681</v>
      </c>
      <c r="W97" s="5">
        <v>5028247</v>
      </c>
      <c r="X97" s="5">
        <v>5109307</v>
      </c>
      <c r="Y97" s="5">
        <v>5013076</v>
      </c>
      <c r="Z97" s="5">
        <v>5032985</v>
      </c>
      <c r="AA97" s="5">
        <v>5071531</v>
      </c>
      <c r="AB97" s="5">
        <v>5069361</v>
      </c>
      <c r="AC97" s="5">
        <v>5313319</v>
      </c>
      <c r="AD97" s="5">
        <v>5241165</v>
      </c>
      <c r="AE97" s="5">
        <v>5269292</v>
      </c>
      <c r="AF97" s="5">
        <v>5307114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>
      <c r="A98" t="s">
        <v>31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>
        <v>26481459</v>
      </c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>
      <c r="A99" t="s">
        <v>28</v>
      </c>
      <c r="M99" s="5">
        <v>2927</v>
      </c>
      <c r="N99" s="4">
        <f>M99/(M99+M100)</f>
        <v>0.30391444294465786</v>
      </c>
      <c r="O99" s="4"/>
      <c r="P99" s="4"/>
      <c r="Q99" s="4"/>
      <c r="R99" s="4"/>
      <c r="S99" s="4"/>
      <c r="T99" s="4"/>
      <c r="U99" s="4"/>
      <c r="AM99" s="5"/>
      <c r="AN99" s="5"/>
      <c r="AO99" s="5"/>
      <c r="AP99" s="5"/>
    </row>
    <row r="100" spans="1:42" ht="12.75">
      <c r="A100" t="s">
        <v>34</v>
      </c>
      <c r="M100" s="5">
        <v>6704</v>
      </c>
      <c r="N100" s="4"/>
      <c r="O100" s="4"/>
      <c r="P100" s="4"/>
      <c r="Q100" s="4"/>
      <c r="R100" s="4"/>
      <c r="S100" s="4"/>
      <c r="T100" s="4"/>
      <c r="U100" s="4"/>
      <c r="AM100" s="5"/>
      <c r="AN100" s="5"/>
      <c r="AO100" s="5"/>
      <c r="AP100" s="5"/>
    </row>
    <row r="101" spans="1:42" ht="12.75">
      <c r="A101" t="s">
        <v>36</v>
      </c>
      <c r="M101" s="6">
        <f aca="true" t="shared" si="61" ref="M101:Y101">M25/2972</f>
        <v>11247.698183041723</v>
      </c>
      <c r="N101" s="6">
        <f t="shared" si="61"/>
        <v>10909.076379542395</v>
      </c>
      <c r="O101" s="6">
        <f t="shared" si="61"/>
        <v>12252.004374158816</v>
      </c>
      <c r="P101" s="6">
        <f t="shared" si="61"/>
        <v>12864.594549125168</v>
      </c>
      <c r="Q101" s="6">
        <f t="shared" si="61"/>
        <v>11465.757065948856</v>
      </c>
      <c r="R101" s="6">
        <f t="shared" si="61"/>
        <v>13332.531628532974</v>
      </c>
      <c r="S101" s="6">
        <f t="shared" si="61"/>
        <v>12840.686406460296</v>
      </c>
      <c r="T101" s="6">
        <f t="shared" si="61"/>
        <v>12019.575033647376</v>
      </c>
      <c r="U101" s="6">
        <f t="shared" si="61"/>
        <v>11262.28734858681</v>
      </c>
      <c r="V101" s="6">
        <f t="shared" si="61"/>
        <v>10927.504374158816</v>
      </c>
      <c r="W101" s="6">
        <f t="shared" si="61"/>
        <v>9644.590511440108</v>
      </c>
      <c r="X101" s="6">
        <f t="shared" si="61"/>
        <v>8489.966352624495</v>
      </c>
      <c r="Y101" s="6">
        <f t="shared" si="61"/>
        <v>8910.161170928668</v>
      </c>
      <c r="Z101" s="6">
        <f aca="true" t="shared" si="62" ref="Z101:AL101">Z25/2972</f>
        <v>8346.877187079408</v>
      </c>
      <c r="AA101" s="6">
        <f t="shared" si="62"/>
        <v>8527.234185733512</v>
      </c>
      <c r="AB101" s="6">
        <f t="shared" si="62"/>
        <v>9018.140982503364</v>
      </c>
      <c r="AC101" s="6">
        <f t="shared" si="62"/>
        <v>10782.159825033646</v>
      </c>
      <c r="AD101" s="6">
        <f t="shared" si="62"/>
        <v>9452.206258411843</v>
      </c>
      <c r="AE101" s="6">
        <f t="shared" si="62"/>
        <v>11506.985531628534</v>
      </c>
      <c r="AF101" s="6">
        <f t="shared" si="62"/>
        <v>13279.281292059219</v>
      </c>
      <c r="AG101" s="6">
        <f t="shared" si="62"/>
        <v>13458.236541049799</v>
      </c>
      <c r="AH101" s="6">
        <f t="shared" si="62"/>
        <v>14404.162853297443</v>
      </c>
      <c r="AI101" s="6">
        <f t="shared" si="62"/>
        <v>19482.50336473755</v>
      </c>
      <c r="AJ101" s="6">
        <f t="shared" si="62"/>
        <v>19876.85060565276</v>
      </c>
      <c r="AK101" s="6">
        <f t="shared" si="62"/>
        <v>20471.399730820995</v>
      </c>
      <c r="AL101" s="6">
        <f t="shared" si="62"/>
        <v>19843.87617765814</v>
      </c>
      <c r="AM101" s="5"/>
      <c r="AN101" s="5"/>
      <c r="AO101" s="5"/>
      <c r="AP101" s="5"/>
    </row>
    <row r="103" spans="1:12" ht="12.75">
      <c r="A103" s="3" t="s">
        <v>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31" ht="12.75">
      <c r="A104" t="s">
        <v>16</v>
      </c>
      <c r="M104">
        <v>254559530</v>
      </c>
      <c r="N104">
        <v>251671504</v>
      </c>
      <c r="O104">
        <v>273377018</v>
      </c>
      <c r="P104">
        <v>280542504</v>
      </c>
      <c r="Q104">
        <v>267095219</v>
      </c>
      <c r="R104">
        <v>250254361</v>
      </c>
      <c r="S104">
        <v>268034961</v>
      </c>
      <c r="T104">
        <v>275377018</v>
      </c>
      <c r="U104">
        <v>251671504</v>
      </c>
      <c r="V104">
        <v>254559530</v>
      </c>
      <c r="W104">
        <v>246024650</v>
      </c>
      <c r="X104">
        <v>232951918</v>
      </c>
      <c r="Y104">
        <v>238940423</v>
      </c>
      <c r="Z104">
        <v>242810448</v>
      </c>
      <c r="AA104">
        <v>250387871</v>
      </c>
      <c r="AB104">
        <v>265629604</v>
      </c>
      <c r="AC104">
        <v>281777075</v>
      </c>
      <c r="AD104">
        <v>260243329</v>
      </c>
      <c r="AE104">
        <v>266304851</v>
      </c>
    </row>
    <row r="105" spans="1:31" ht="12.75">
      <c r="A105" t="s">
        <v>17</v>
      </c>
      <c r="M105">
        <v>197108501</v>
      </c>
      <c r="N105">
        <v>190854844</v>
      </c>
      <c r="O105">
        <v>212182304</v>
      </c>
      <c r="P105">
        <v>209404310</v>
      </c>
      <c r="Q105">
        <v>194441417</v>
      </c>
      <c r="R105">
        <v>188621367</v>
      </c>
      <c r="S105">
        <v>194883917</v>
      </c>
      <c r="T105">
        <v>212182304</v>
      </c>
      <c r="U105">
        <v>190854844</v>
      </c>
      <c r="V105">
        <v>197108501</v>
      </c>
      <c r="W105">
        <v>194051856</v>
      </c>
      <c r="X105">
        <v>185066905</v>
      </c>
      <c r="Y105">
        <v>187808766</v>
      </c>
      <c r="Z105">
        <v>186364676</v>
      </c>
      <c r="AA105">
        <v>194955985</v>
      </c>
      <c r="AB105">
        <v>200681542</v>
      </c>
      <c r="AC105">
        <v>207856575</v>
      </c>
      <c r="AD105">
        <v>212853294</v>
      </c>
      <c r="AE105">
        <v>217280462</v>
      </c>
    </row>
    <row r="106" spans="1:31" ht="12.75">
      <c r="A106" t="s">
        <v>18</v>
      </c>
      <c r="M106" s="4">
        <f>M105/M104</f>
        <v>0.7743120086684635</v>
      </c>
      <c r="N106" s="4">
        <f aca="true" t="shared" si="63" ref="N106:AE106">N105/N104</f>
        <v>0.7583490421704636</v>
      </c>
      <c r="O106" s="4">
        <f t="shared" si="63"/>
        <v>0.7761526757161423</v>
      </c>
      <c r="P106" s="4">
        <f t="shared" si="63"/>
        <v>0.7464263240482091</v>
      </c>
      <c r="Q106" s="4">
        <f t="shared" si="63"/>
        <v>0.727985389360339</v>
      </c>
      <c r="R106" s="4">
        <f t="shared" si="63"/>
        <v>0.7537186015311838</v>
      </c>
      <c r="S106" s="4">
        <f t="shared" si="63"/>
        <v>0.7270839455902173</v>
      </c>
      <c r="T106" s="4">
        <f t="shared" si="63"/>
        <v>0.7705156571925693</v>
      </c>
      <c r="U106" s="4">
        <f t="shared" si="63"/>
        <v>0.7583490421704636</v>
      </c>
      <c r="V106" s="4">
        <f t="shared" si="63"/>
        <v>0.7743120086684635</v>
      </c>
      <c r="W106" s="4">
        <f t="shared" si="63"/>
        <v>0.7887496476470955</v>
      </c>
      <c r="X106" s="4">
        <f t="shared" si="63"/>
        <v>0.7944425037959979</v>
      </c>
      <c r="Y106" s="4">
        <f t="shared" si="63"/>
        <v>0.7860066691185191</v>
      </c>
      <c r="Z106" s="4">
        <f t="shared" si="63"/>
        <v>0.7675315355457851</v>
      </c>
      <c r="AA106" s="4">
        <f t="shared" si="63"/>
        <v>0.7786159298427039</v>
      </c>
      <c r="AB106" s="4">
        <f t="shared" si="63"/>
        <v>0.7554938868937214</v>
      </c>
      <c r="AC106" s="4">
        <f t="shared" si="63"/>
        <v>0.737663186403649</v>
      </c>
      <c r="AD106" s="4">
        <f t="shared" si="63"/>
        <v>0.8179010575137547</v>
      </c>
      <c r="AE106" s="4">
        <f t="shared" si="63"/>
        <v>0.8159087646510803</v>
      </c>
    </row>
    <row r="107" spans="1:31" ht="12.75">
      <c r="A107" t="s">
        <v>25</v>
      </c>
      <c r="M107" s="5">
        <v>33934442</v>
      </c>
      <c r="N107" s="5">
        <v>38558278</v>
      </c>
      <c r="O107">
        <v>41806617</v>
      </c>
      <c r="P107" s="5">
        <v>44251625</v>
      </c>
      <c r="Q107" s="5">
        <v>43005425</v>
      </c>
      <c r="R107" s="5">
        <v>44526195</v>
      </c>
      <c r="S107" s="5">
        <v>46605965</v>
      </c>
      <c r="T107" s="5">
        <v>47286947</v>
      </c>
      <c r="U107" s="5">
        <v>35061772</v>
      </c>
      <c r="V107" s="5">
        <v>36477469</v>
      </c>
      <c r="W107" s="5">
        <v>35642681</v>
      </c>
      <c r="X107" s="5">
        <v>32529610</v>
      </c>
      <c r="Y107" s="5">
        <v>33976326</v>
      </c>
      <c r="Z107" s="5">
        <v>33619411</v>
      </c>
      <c r="AA107" s="5">
        <v>35152347</v>
      </c>
      <c r="AB107" s="5">
        <v>32143694</v>
      </c>
      <c r="AC107" s="5">
        <v>33785929</v>
      </c>
      <c r="AD107" s="5">
        <v>35372195</v>
      </c>
      <c r="AE107" s="5">
        <v>35227394</v>
      </c>
    </row>
    <row r="108" spans="1:31" ht="12.75">
      <c r="A108" t="s">
        <v>35</v>
      </c>
      <c r="M108" s="5">
        <v>3442397</v>
      </c>
      <c r="N108" s="5">
        <v>3487252</v>
      </c>
      <c r="O108">
        <v>3540332</v>
      </c>
      <c r="P108" s="5">
        <v>3631541</v>
      </c>
      <c r="Q108" s="5">
        <v>3717280</v>
      </c>
      <c r="R108" s="5">
        <v>3697546</v>
      </c>
      <c r="S108" s="5"/>
      <c r="T108" s="5"/>
      <c r="U108" s="5"/>
      <c r="V108" s="5">
        <v>3740320</v>
      </c>
      <c r="W108" s="5">
        <v>3811263</v>
      </c>
      <c r="X108" s="5">
        <v>3877369</v>
      </c>
      <c r="Y108" s="5">
        <v>3929809</v>
      </c>
      <c r="Z108" s="5">
        <v>3965073</v>
      </c>
      <c r="AA108" s="5">
        <v>4039672</v>
      </c>
      <c r="AB108" s="5">
        <v>4100555</v>
      </c>
      <c r="AC108" s="5"/>
      <c r="AD108" s="5"/>
      <c r="AE108" s="5"/>
    </row>
    <row r="109" spans="1:31" ht="12.75">
      <c r="A109" t="s">
        <v>28</v>
      </c>
      <c r="M109" s="5">
        <v>4261</v>
      </c>
      <c r="N109" s="4">
        <f>M109/(M109+M110)</f>
        <v>0.5461420148679825</v>
      </c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2.75">
      <c r="A110" t="s">
        <v>29</v>
      </c>
      <c r="M110" s="5">
        <v>3541</v>
      </c>
      <c r="N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2.75">
      <c r="A111" t="s">
        <v>36</v>
      </c>
      <c r="M111" s="5">
        <f>M107/4261</f>
        <v>7963.961980755691</v>
      </c>
      <c r="N111" s="5">
        <f aca="true" t="shared" si="64" ref="N111:AE111">N107/4261</f>
        <v>9049.114761793006</v>
      </c>
      <c r="O111" s="5">
        <f t="shared" si="64"/>
        <v>9811.456700305092</v>
      </c>
      <c r="P111" s="5">
        <f t="shared" si="64"/>
        <v>10385.267542830321</v>
      </c>
      <c r="Q111" s="5">
        <f t="shared" si="64"/>
        <v>10092.80098568411</v>
      </c>
      <c r="R111" s="5">
        <f t="shared" si="64"/>
        <v>10449.705468199953</v>
      </c>
      <c r="S111" s="5">
        <f t="shared" si="64"/>
        <v>10937.799812250645</v>
      </c>
      <c r="T111" s="5">
        <f t="shared" si="64"/>
        <v>11097.617226003285</v>
      </c>
      <c r="U111" s="5">
        <f t="shared" si="64"/>
        <v>8228.531330673552</v>
      </c>
      <c r="V111" s="5">
        <f t="shared" si="64"/>
        <v>8560.776578268013</v>
      </c>
      <c r="W111" s="5">
        <f t="shared" si="64"/>
        <v>8364.862942971133</v>
      </c>
      <c r="X111" s="5">
        <f t="shared" si="64"/>
        <v>7634.266604083548</v>
      </c>
      <c r="Y111" s="5">
        <f t="shared" si="64"/>
        <v>7973.791598216381</v>
      </c>
      <c r="Z111" s="5">
        <f t="shared" si="64"/>
        <v>7890.028397089885</v>
      </c>
      <c r="AA111" s="5">
        <f t="shared" si="64"/>
        <v>8249.788077915982</v>
      </c>
      <c r="AB111" s="5">
        <f t="shared" si="64"/>
        <v>7543.697254165689</v>
      </c>
      <c r="AC111" s="5">
        <f t="shared" si="64"/>
        <v>7929.1079558789015</v>
      </c>
      <c r="AD111" s="5">
        <f t="shared" si="64"/>
        <v>8301.383478056794</v>
      </c>
      <c r="AE111" s="5">
        <f t="shared" si="64"/>
        <v>8267.400610185403</v>
      </c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3" t="s">
        <v>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31" ht="12.75">
      <c r="A114" t="s">
        <v>16</v>
      </c>
      <c r="M114">
        <v>167228070</v>
      </c>
      <c r="N114">
        <v>173747860</v>
      </c>
      <c r="O114">
        <v>177868522</v>
      </c>
      <c r="P114">
        <v>181174914</v>
      </c>
      <c r="Q114">
        <v>171601843</v>
      </c>
      <c r="R114">
        <v>183033330</v>
      </c>
      <c r="S114">
        <v>188169812</v>
      </c>
      <c r="T114">
        <v>184402990</v>
      </c>
      <c r="U114">
        <v>179107731</v>
      </c>
      <c r="V114">
        <v>183608782</v>
      </c>
      <c r="W114">
        <v>174915492</v>
      </c>
      <c r="X114">
        <v>165412453</v>
      </c>
      <c r="Y114">
        <v>174262934</v>
      </c>
      <c r="Z114">
        <v>179604511</v>
      </c>
      <c r="AA114">
        <v>184300791</v>
      </c>
      <c r="AB114">
        <v>197913432</v>
      </c>
      <c r="AC114">
        <v>210189700</v>
      </c>
      <c r="AD114">
        <v>197215228</v>
      </c>
      <c r="AE114">
        <v>210001196</v>
      </c>
    </row>
    <row r="115" spans="1:31" ht="12.75">
      <c r="A115" t="s">
        <v>17</v>
      </c>
      <c r="M115">
        <v>121845191</v>
      </c>
      <c r="N115">
        <v>137143007</v>
      </c>
      <c r="O115">
        <v>143249195</v>
      </c>
      <c r="P115">
        <v>146833940</v>
      </c>
      <c r="Q115">
        <v>142677265</v>
      </c>
      <c r="R115">
        <v>144019364</v>
      </c>
      <c r="S115">
        <v>151533846</v>
      </c>
      <c r="T115">
        <v>152670023</v>
      </c>
      <c r="U115">
        <v>143066032</v>
      </c>
      <c r="V115">
        <v>146426171</v>
      </c>
      <c r="W115">
        <v>147871058</v>
      </c>
      <c r="X115">
        <v>143240067</v>
      </c>
      <c r="Y115">
        <v>149901425</v>
      </c>
      <c r="Z115">
        <v>152625849</v>
      </c>
      <c r="AA115">
        <v>157241785</v>
      </c>
      <c r="AB115">
        <v>163703421</v>
      </c>
      <c r="AC115">
        <v>168697965</v>
      </c>
      <c r="AD115">
        <v>171402092</v>
      </c>
      <c r="AE115">
        <v>177448610</v>
      </c>
    </row>
    <row r="116" spans="1:31" ht="12.75">
      <c r="A116" t="s">
        <v>18</v>
      </c>
      <c r="M116" s="4">
        <f>M115/M114</f>
        <v>0.7286168584018221</v>
      </c>
      <c r="N116" s="4">
        <f aca="true" t="shared" si="65" ref="N116:AE116">N115/N114</f>
        <v>0.7893219922248251</v>
      </c>
      <c r="O116" s="4">
        <f t="shared" si="65"/>
        <v>0.8053656340608711</v>
      </c>
      <c r="P116" s="4">
        <f t="shared" si="65"/>
        <v>0.810454034491773</v>
      </c>
      <c r="Q116" s="4">
        <f t="shared" si="65"/>
        <v>0.8314436634576238</v>
      </c>
      <c r="R116" s="4">
        <f t="shared" si="65"/>
        <v>0.7868477506255281</v>
      </c>
      <c r="S116" s="4">
        <f t="shared" si="65"/>
        <v>0.8053037008933186</v>
      </c>
      <c r="T116" s="4">
        <f t="shared" si="65"/>
        <v>0.8279151167776618</v>
      </c>
      <c r="U116" s="4">
        <f t="shared" si="65"/>
        <v>0.7987708358607927</v>
      </c>
      <c r="V116" s="4">
        <f t="shared" si="65"/>
        <v>0.797490018750846</v>
      </c>
      <c r="W116" s="4">
        <f t="shared" si="65"/>
        <v>0.8453857134621329</v>
      </c>
      <c r="X116" s="4">
        <f t="shared" si="65"/>
        <v>0.8659569724173064</v>
      </c>
      <c r="Y116" s="4">
        <f t="shared" si="65"/>
        <v>0.8602025775601827</v>
      </c>
      <c r="Z116" s="4">
        <f t="shared" si="65"/>
        <v>0.849788505590486</v>
      </c>
      <c r="AA116" s="4">
        <f t="shared" si="65"/>
        <v>0.8531801960632931</v>
      </c>
      <c r="AB116" s="4">
        <f t="shared" si="65"/>
        <v>0.8271465930619606</v>
      </c>
      <c r="AC116" s="4">
        <f t="shared" si="65"/>
        <v>0.8025986287624941</v>
      </c>
      <c r="AD116" s="4">
        <f t="shared" si="65"/>
        <v>0.869111851748081</v>
      </c>
      <c r="AE116" s="4">
        <f t="shared" si="65"/>
        <v>0.8449885685412953</v>
      </c>
    </row>
    <row r="117" spans="1:42" ht="12.75">
      <c r="A117" t="s">
        <v>25</v>
      </c>
      <c r="M117" s="5">
        <v>21703083</v>
      </c>
      <c r="N117" s="5">
        <v>24251560</v>
      </c>
      <c r="O117" s="5">
        <v>26784958</v>
      </c>
      <c r="P117" s="5">
        <v>27548177</v>
      </c>
      <c r="Q117" s="5">
        <v>23703246</v>
      </c>
      <c r="R117" s="5">
        <v>22497314</v>
      </c>
      <c r="S117" s="5">
        <v>24349894</v>
      </c>
      <c r="T117" s="5">
        <v>25299051</v>
      </c>
      <c r="U117" s="5">
        <v>20809294</v>
      </c>
      <c r="V117" s="5">
        <v>24235904</v>
      </c>
      <c r="W117" s="5">
        <v>23852316</v>
      </c>
      <c r="X117" s="5">
        <v>22170355</v>
      </c>
      <c r="Y117" s="5">
        <v>23208094</v>
      </c>
      <c r="Z117" s="5">
        <v>26315766</v>
      </c>
      <c r="AA117" s="5">
        <v>26807574</v>
      </c>
      <c r="AB117" s="5">
        <v>27185244</v>
      </c>
      <c r="AC117" s="5">
        <v>29293527</v>
      </c>
      <c r="AD117" s="5">
        <v>26849375</v>
      </c>
      <c r="AE117" s="5">
        <v>28639957</v>
      </c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2.75">
      <c r="A118" t="s">
        <v>30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2.75">
      <c r="A119" t="s">
        <v>26</v>
      </c>
      <c r="M119" s="5">
        <v>2782.12</v>
      </c>
      <c r="N119" s="4">
        <f>M119/(M119+M120)</f>
        <v>0.4122196671566071</v>
      </c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13" ht="12.75">
      <c r="A120" s="5" t="s">
        <v>27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>
        <v>3967</v>
      </c>
    </row>
    <row r="121" spans="1:31" ht="12.75">
      <c r="A121" s="5" t="s">
        <v>36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6">
        <f>M117/2782</f>
        <v>7801.251976994968</v>
      </c>
      <c r="N121" s="6">
        <f aca="true" t="shared" si="66" ref="N121:AE121">N117/2782</f>
        <v>8717.311286843997</v>
      </c>
      <c r="O121" s="6">
        <f t="shared" si="66"/>
        <v>9627.950395398993</v>
      </c>
      <c r="P121" s="6">
        <f t="shared" si="66"/>
        <v>9902.292235801582</v>
      </c>
      <c r="Q121" s="6">
        <f t="shared" si="66"/>
        <v>8520.217828900071</v>
      </c>
      <c r="R121" s="6">
        <f t="shared" si="66"/>
        <v>8086.741193386053</v>
      </c>
      <c r="S121" s="6">
        <f t="shared" si="66"/>
        <v>8752.657800143781</v>
      </c>
      <c r="T121" s="6">
        <f t="shared" si="66"/>
        <v>9093.83572969087</v>
      </c>
      <c r="U121" s="6">
        <f t="shared" si="66"/>
        <v>7479.976276060388</v>
      </c>
      <c r="V121" s="6">
        <f t="shared" si="66"/>
        <v>8711.683680805176</v>
      </c>
      <c r="W121" s="6">
        <f t="shared" si="66"/>
        <v>8573.801581595973</v>
      </c>
      <c r="X121" s="6">
        <f t="shared" si="66"/>
        <v>7969.214593817397</v>
      </c>
      <c r="Y121" s="6">
        <f t="shared" si="66"/>
        <v>8342.233644859813</v>
      </c>
      <c r="Z121" s="6">
        <f t="shared" si="66"/>
        <v>9459.297627606038</v>
      </c>
      <c r="AA121" s="6">
        <f t="shared" si="66"/>
        <v>9636.079798705967</v>
      </c>
      <c r="AB121" s="6">
        <f t="shared" si="66"/>
        <v>9771.834651329978</v>
      </c>
      <c r="AC121" s="6">
        <f t="shared" si="66"/>
        <v>10529.664629762761</v>
      </c>
      <c r="AD121" s="6">
        <f t="shared" si="66"/>
        <v>9651.105319913731</v>
      </c>
      <c r="AE121" s="6">
        <f t="shared" si="66"/>
        <v>10294.736520488857</v>
      </c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3" t="s">
        <v>3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42" ht="12.75">
      <c r="A124" t="s">
        <v>16</v>
      </c>
      <c r="M124">
        <v>245247561</v>
      </c>
      <c r="N124">
        <v>266593668</v>
      </c>
      <c r="O124">
        <v>270347780</v>
      </c>
      <c r="P124">
        <v>278413812</v>
      </c>
      <c r="Q124">
        <v>252352714</v>
      </c>
      <c r="R124">
        <v>249226272</v>
      </c>
      <c r="S124">
        <v>257032495</v>
      </c>
      <c r="T124">
        <v>258308215</v>
      </c>
      <c r="U124">
        <v>258027700</v>
      </c>
      <c r="V124">
        <v>263072883</v>
      </c>
      <c r="W124">
        <v>251125890</v>
      </c>
      <c r="X124">
        <v>254160812</v>
      </c>
      <c r="Y124">
        <v>263434528</v>
      </c>
      <c r="Z124">
        <v>261713684</v>
      </c>
      <c r="AA124">
        <v>267379529</v>
      </c>
      <c r="AB124">
        <v>270452376</v>
      </c>
      <c r="AC124">
        <v>289622347</v>
      </c>
      <c r="AD124">
        <v>277084008</v>
      </c>
      <c r="AE124">
        <v>284751650</v>
      </c>
      <c r="AG124">
        <v>870453337</v>
      </c>
      <c r="AH124">
        <v>940162148</v>
      </c>
      <c r="AI124">
        <v>1000516581</v>
      </c>
      <c r="AJ124">
        <v>1093603000</v>
      </c>
      <c r="AK124">
        <v>1290829000</v>
      </c>
      <c r="AL124">
        <v>1320960000</v>
      </c>
      <c r="AM124">
        <v>1536777000</v>
      </c>
      <c r="AN124">
        <v>1677857000</v>
      </c>
      <c r="AO124">
        <v>1976408000</v>
      </c>
      <c r="AP124">
        <v>2446402000</v>
      </c>
    </row>
    <row r="125" spans="1:42" ht="12.75">
      <c r="A125" t="s">
        <v>17</v>
      </c>
      <c r="M125">
        <v>161964674</v>
      </c>
      <c r="N125">
        <v>189234238</v>
      </c>
      <c r="O125">
        <v>193435960</v>
      </c>
      <c r="P125">
        <v>203124368</v>
      </c>
      <c r="Q125">
        <v>190333761</v>
      </c>
      <c r="R125">
        <v>190704931</v>
      </c>
      <c r="S125">
        <v>196359600</v>
      </c>
      <c r="T125">
        <v>205579093</v>
      </c>
      <c r="U125">
        <v>200263598</v>
      </c>
      <c r="V125">
        <v>209875069</v>
      </c>
      <c r="W125">
        <v>202951522</v>
      </c>
      <c r="X125">
        <v>201902807</v>
      </c>
      <c r="Y125">
        <v>207809087</v>
      </c>
      <c r="Z125">
        <v>208555126</v>
      </c>
      <c r="AA125">
        <v>217258619</v>
      </c>
      <c r="AB125">
        <v>221832005</v>
      </c>
      <c r="AC125">
        <v>227622927</v>
      </c>
      <c r="AD125">
        <v>225552194</v>
      </c>
      <c r="AE125">
        <v>227961597</v>
      </c>
      <c r="AG125">
        <v>734426360</v>
      </c>
      <c r="AH125">
        <v>778535507</v>
      </c>
      <c r="AI125">
        <v>827620927</v>
      </c>
      <c r="AJ125">
        <v>903803000</v>
      </c>
      <c r="AK125">
        <v>1026656000</v>
      </c>
      <c r="AL125">
        <v>1066668000</v>
      </c>
      <c r="AM125">
        <v>1251434000</v>
      </c>
      <c r="AN125">
        <v>1396416000</v>
      </c>
      <c r="AO125">
        <v>1899194000</v>
      </c>
      <c r="AP125">
        <v>2340185000</v>
      </c>
    </row>
    <row r="126" spans="1:42" ht="12.75">
      <c r="A126" t="s">
        <v>18</v>
      </c>
      <c r="M126" s="4">
        <f>M125/M124</f>
        <v>0.6604129857177254</v>
      </c>
      <c r="N126" s="4">
        <f aca="true" t="shared" si="67" ref="N126:AE126">N125/N124</f>
        <v>0.7098227029158097</v>
      </c>
      <c r="O126" s="4">
        <f t="shared" si="67"/>
        <v>0.7155078543644783</v>
      </c>
      <c r="P126" s="4">
        <f t="shared" si="67"/>
        <v>0.7295771949704851</v>
      </c>
      <c r="Q126" s="4">
        <f t="shared" si="67"/>
        <v>0.7542370279401869</v>
      </c>
      <c r="R126" s="4">
        <f t="shared" si="67"/>
        <v>0.7651879132549878</v>
      </c>
      <c r="S126" s="4">
        <f t="shared" si="67"/>
        <v>0.7639485427708275</v>
      </c>
      <c r="T126" s="4">
        <f t="shared" si="67"/>
        <v>0.7958674214058581</v>
      </c>
      <c r="U126" s="4">
        <f t="shared" si="67"/>
        <v>0.776132167205304</v>
      </c>
      <c r="V126" s="4">
        <f t="shared" si="67"/>
        <v>0.797782981684205</v>
      </c>
      <c r="W126" s="4">
        <f t="shared" si="67"/>
        <v>0.808166461849075</v>
      </c>
      <c r="X126" s="4">
        <f t="shared" si="67"/>
        <v>0.794389998250399</v>
      </c>
      <c r="Y126" s="4">
        <f t="shared" si="67"/>
        <v>0.7888452913810904</v>
      </c>
      <c r="Z126" s="4">
        <f t="shared" si="67"/>
        <v>0.7968827720907402</v>
      </c>
      <c r="AA126" s="4">
        <f t="shared" si="67"/>
        <v>0.8125476913380306</v>
      </c>
      <c r="AB126" s="4">
        <f t="shared" si="67"/>
        <v>0.820225757602514</v>
      </c>
      <c r="AC126" s="4">
        <f t="shared" si="67"/>
        <v>0.7859301236862085</v>
      </c>
      <c r="AD126" s="4">
        <f t="shared" si="67"/>
        <v>0.8140209737402095</v>
      </c>
      <c r="AE126" s="4">
        <f t="shared" si="67"/>
        <v>0.8005628659219358</v>
      </c>
      <c r="AF126">
        <v>83</v>
      </c>
      <c r="AG126">
        <v>84.4</v>
      </c>
      <c r="AH126">
        <v>82.8</v>
      </c>
      <c r="AI126">
        <v>82.4</v>
      </c>
      <c r="AJ126">
        <v>82.3</v>
      </c>
      <c r="AK126">
        <v>79.4</v>
      </c>
      <c r="AL126">
        <v>80.7</v>
      </c>
      <c r="AM126">
        <v>81.4</v>
      </c>
      <c r="AN126">
        <v>83.2</v>
      </c>
      <c r="AO126">
        <v>96.1</v>
      </c>
      <c r="AP126">
        <v>95.9</v>
      </c>
    </row>
    <row r="127" spans="1:42" ht="12.75">
      <c r="A127" t="s">
        <v>25</v>
      </c>
      <c r="M127" s="5">
        <v>28946400</v>
      </c>
      <c r="N127" s="5">
        <v>36485879</v>
      </c>
      <c r="O127" s="5">
        <v>36457566</v>
      </c>
      <c r="P127" s="5">
        <v>43774901</v>
      </c>
      <c r="Q127" s="5">
        <v>30376145</v>
      </c>
      <c r="R127" s="5">
        <v>32268241</v>
      </c>
      <c r="S127" s="5">
        <v>34150261</v>
      </c>
      <c r="T127" s="5">
        <v>27640639</v>
      </c>
      <c r="U127" s="5">
        <v>31310006</v>
      </c>
      <c r="V127" s="5">
        <v>28975000</v>
      </c>
      <c r="W127" s="5">
        <v>29332228</v>
      </c>
      <c r="X127" s="5">
        <v>30472908</v>
      </c>
      <c r="Y127" s="5">
        <v>31258448</v>
      </c>
      <c r="Z127" s="5">
        <v>31250448</v>
      </c>
      <c r="AA127" s="5">
        <v>31568065</v>
      </c>
      <c r="AB127" s="5">
        <v>31342215</v>
      </c>
      <c r="AC127" s="5">
        <v>30825973</v>
      </c>
      <c r="AD127" s="5">
        <v>27772883</v>
      </c>
      <c r="AE127" s="5">
        <v>31799673</v>
      </c>
      <c r="AF127" s="5"/>
      <c r="AG127" s="5">
        <v>113090921</v>
      </c>
      <c r="AH127" s="5">
        <v>131214261</v>
      </c>
      <c r="AI127" s="5">
        <v>143214261</v>
      </c>
      <c r="AJ127" s="5">
        <v>161795000</v>
      </c>
      <c r="AK127" s="5">
        <v>190955000</v>
      </c>
      <c r="AL127" s="5">
        <v>207177000</v>
      </c>
      <c r="AM127" s="5">
        <v>264415000</v>
      </c>
      <c r="AN127" s="5">
        <v>309676000</v>
      </c>
      <c r="AO127" s="5">
        <v>401752000</v>
      </c>
      <c r="AP127" s="5">
        <v>488396000</v>
      </c>
    </row>
    <row r="128" spans="1:42" ht="12.75">
      <c r="A128" t="s">
        <v>32</v>
      </c>
      <c r="M128" s="5">
        <v>12351007</v>
      </c>
      <c r="N128" s="5">
        <v>8647919</v>
      </c>
      <c r="O128" s="5">
        <v>18567860</v>
      </c>
      <c r="P128" s="5">
        <v>11720397</v>
      </c>
      <c r="Q128" s="5">
        <v>10789572</v>
      </c>
      <c r="R128" s="5">
        <v>5390690</v>
      </c>
      <c r="S128" s="5">
        <v>16466228</v>
      </c>
      <c r="T128" s="5">
        <v>23942890</v>
      </c>
      <c r="U128" s="5">
        <v>8232334</v>
      </c>
      <c r="V128" s="5">
        <v>9078179</v>
      </c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t="s">
        <v>33</v>
      </c>
      <c r="M129" s="5">
        <v>22524912</v>
      </c>
      <c r="N129" s="5">
        <v>21080167</v>
      </c>
      <c r="O129" s="5">
        <v>21193826</v>
      </c>
      <c r="P129" s="5">
        <v>33730890</v>
      </c>
      <c r="Q129" s="5">
        <v>16513268</v>
      </c>
      <c r="R129" s="5">
        <v>19825370</v>
      </c>
      <c r="S129" s="5">
        <v>14871156</v>
      </c>
      <c r="T129" s="5">
        <v>22474055</v>
      </c>
      <c r="U129" s="5">
        <v>21196344</v>
      </c>
      <c r="V129" s="5">
        <v>18281592</v>
      </c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t="s">
        <v>28</v>
      </c>
      <c r="M130" s="5">
        <f>11486-2782-4261</f>
        <v>4443</v>
      </c>
      <c r="N130" s="4">
        <f>M130/(M130+M131)</f>
        <v>0.6638278798744958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>
        <v>11486</v>
      </c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t="s">
        <v>29</v>
      </c>
      <c r="M131" s="5">
        <f>9758-3967-3541</f>
        <v>2250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>
        <v>9758</v>
      </c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t="s">
        <v>36</v>
      </c>
      <c r="M132" s="5">
        <f>M127/4443</f>
        <v>6515.057393652937</v>
      </c>
      <c r="N132" s="5">
        <f aca="true" t="shared" si="68" ref="N132:AE132">N127/4443</f>
        <v>8211.991672293496</v>
      </c>
      <c r="O132" s="5">
        <f t="shared" si="68"/>
        <v>8205.619176232276</v>
      </c>
      <c r="P132" s="5">
        <f t="shared" si="68"/>
        <v>9852.554805311725</v>
      </c>
      <c r="Q132" s="5">
        <f t="shared" si="68"/>
        <v>6836.854602745892</v>
      </c>
      <c r="R132" s="5">
        <f t="shared" si="68"/>
        <v>7262.714607247355</v>
      </c>
      <c r="S132" s="5">
        <f t="shared" si="68"/>
        <v>7686.3067747017785</v>
      </c>
      <c r="T132" s="5">
        <f t="shared" si="68"/>
        <v>6221.165653837497</v>
      </c>
      <c r="U132" s="5">
        <f t="shared" si="68"/>
        <v>7047.041638532523</v>
      </c>
      <c r="V132" s="5">
        <f t="shared" si="68"/>
        <v>6521.494485707855</v>
      </c>
      <c r="W132" s="5">
        <f t="shared" si="68"/>
        <v>6601.896916497862</v>
      </c>
      <c r="X132" s="5">
        <f t="shared" si="68"/>
        <v>6858.633355840649</v>
      </c>
      <c r="Y132" s="5">
        <f t="shared" si="68"/>
        <v>7035.437317128067</v>
      </c>
      <c r="Z132" s="5">
        <f t="shared" si="68"/>
        <v>7033.63673193788</v>
      </c>
      <c r="AA132" s="5">
        <f t="shared" si="68"/>
        <v>7105.123790231825</v>
      </c>
      <c r="AB132" s="5">
        <f t="shared" si="68"/>
        <v>7054.291019581364</v>
      </c>
      <c r="AC132" s="5">
        <f t="shared" si="68"/>
        <v>6938.098807112311</v>
      </c>
      <c r="AD132" s="5">
        <f t="shared" si="68"/>
        <v>6250.93022732388</v>
      </c>
      <c r="AE132" s="5">
        <f t="shared" si="68"/>
        <v>7157.252532072924</v>
      </c>
      <c r="AF132" s="5"/>
      <c r="AG132" s="5">
        <f>AG127/11486</f>
        <v>9845.979540309943</v>
      </c>
      <c r="AH132" s="5">
        <f aca="true" t="shared" si="69" ref="AH132:AP132">AH127/11486</f>
        <v>11423.843026292878</v>
      </c>
      <c r="AI132" s="5">
        <f t="shared" si="69"/>
        <v>12468.593156886645</v>
      </c>
      <c r="AJ132" s="5">
        <f t="shared" si="69"/>
        <v>14086.27894828487</v>
      </c>
      <c r="AK132" s="5">
        <f t="shared" si="69"/>
        <v>16625.02176562772</v>
      </c>
      <c r="AL132" s="5">
        <f t="shared" si="69"/>
        <v>18037.349817168728</v>
      </c>
      <c r="AM132" s="5">
        <f t="shared" si="69"/>
        <v>23020.633815079225</v>
      </c>
      <c r="AN132" s="5">
        <f t="shared" si="69"/>
        <v>26961.170120146264</v>
      </c>
      <c r="AO132" s="5">
        <f t="shared" si="69"/>
        <v>34977.53787219223</v>
      </c>
      <c r="AP132" s="5">
        <f t="shared" si="69"/>
        <v>42520.98206512276</v>
      </c>
    </row>
    <row r="134" spans="1:12" ht="12.75">
      <c r="A134" s="3" t="s">
        <v>4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42" ht="12.75">
      <c r="A135" t="s">
        <v>16</v>
      </c>
      <c r="M135">
        <v>188901154</v>
      </c>
      <c r="N135">
        <v>203477012</v>
      </c>
      <c r="O135">
        <v>206164771</v>
      </c>
      <c r="P135">
        <v>204344089</v>
      </c>
      <c r="Q135">
        <v>188439849</v>
      </c>
      <c r="R135">
        <v>198717784</v>
      </c>
      <c r="S135">
        <v>193140137</v>
      </c>
      <c r="T135">
        <v>218489633</v>
      </c>
      <c r="U135">
        <v>215127141</v>
      </c>
      <c r="V135">
        <v>213350197</v>
      </c>
      <c r="W135">
        <v>207281897</v>
      </c>
      <c r="X135">
        <v>218117122</v>
      </c>
      <c r="Y135">
        <v>196960577</v>
      </c>
      <c r="Z135">
        <v>218922579</v>
      </c>
      <c r="AA135">
        <v>220811125</v>
      </c>
      <c r="AB135">
        <v>227588513</v>
      </c>
      <c r="AC135">
        <v>242561277</v>
      </c>
      <c r="AD135">
        <v>242010557</v>
      </c>
      <c r="AE135">
        <v>270696948</v>
      </c>
      <c r="AF135">
        <v>275771410</v>
      </c>
      <c r="AG135">
        <v>313927875</v>
      </c>
      <c r="AH135">
        <v>338393186</v>
      </c>
      <c r="AI135">
        <f>144277308+216431979</f>
        <v>360709287</v>
      </c>
      <c r="AJ135">
        <v>416681378</v>
      </c>
      <c r="AK135">
        <v>484957071</v>
      </c>
      <c r="AL135">
        <v>459046374</v>
      </c>
      <c r="AM135">
        <v>529200000</v>
      </c>
      <c r="AN135">
        <v>562700000</v>
      </c>
      <c r="AO135">
        <v>651612000</v>
      </c>
      <c r="AP135">
        <v>747297000</v>
      </c>
    </row>
    <row r="136" spans="1:42" ht="12.75">
      <c r="A136" t="s">
        <v>17</v>
      </c>
      <c r="M136">
        <v>159315388</v>
      </c>
      <c r="N136">
        <v>178354340</v>
      </c>
      <c r="O136">
        <v>178039980</v>
      </c>
      <c r="P136">
        <v>175528189</v>
      </c>
      <c r="Q136">
        <v>166981622</v>
      </c>
      <c r="R136">
        <v>168237614</v>
      </c>
      <c r="S136">
        <v>170764150</v>
      </c>
      <c r="T136">
        <v>186670441</v>
      </c>
      <c r="U136">
        <v>178316727</v>
      </c>
      <c r="V136">
        <v>182926553</v>
      </c>
      <c r="W136">
        <v>178580139</v>
      </c>
      <c r="X136">
        <v>176848607</v>
      </c>
      <c r="Y136">
        <v>169217520</v>
      </c>
      <c r="Z136">
        <v>170092654</v>
      </c>
      <c r="AA136">
        <v>182075043</v>
      </c>
      <c r="AB136">
        <v>181151710</v>
      </c>
      <c r="AC136">
        <v>191450707</v>
      </c>
      <c r="AD136">
        <v>211016473</v>
      </c>
      <c r="AE136">
        <v>234189927</v>
      </c>
      <c r="AF136">
        <v>235597469</v>
      </c>
      <c r="AG136">
        <v>255205171</v>
      </c>
      <c r="AH136">
        <v>272401303</v>
      </c>
      <c r="AI136">
        <f>119320254+167337104</f>
        <v>286657358</v>
      </c>
      <c r="AJ136">
        <v>325434893</v>
      </c>
      <c r="AK136">
        <v>394927485</v>
      </c>
      <c r="AL136">
        <v>384705724</v>
      </c>
      <c r="AM136">
        <v>418740000</v>
      </c>
      <c r="AN136">
        <v>529474000</v>
      </c>
      <c r="AO136">
        <v>616557000</v>
      </c>
      <c r="AP136">
        <v>735638000</v>
      </c>
    </row>
    <row r="137" spans="1:42" ht="12.75">
      <c r="A137" t="s">
        <v>18</v>
      </c>
      <c r="M137" s="4">
        <f>M136/M135</f>
        <v>0.8433796439380142</v>
      </c>
      <c r="N137" s="4">
        <f aca="true" t="shared" si="70" ref="N137:AP137">N136/N135</f>
        <v>0.8765331191319047</v>
      </c>
      <c r="O137" s="4">
        <f t="shared" si="70"/>
        <v>0.8635810043414255</v>
      </c>
      <c r="P137" s="4">
        <f t="shared" si="70"/>
        <v>0.8589834423837922</v>
      </c>
      <c r="Q137" s="4">
        <f t="shared" si="70"/>
        <v>0.8861269146952033</v>
      </c>
      <c r="R137" s="4">
        <f t="shared" si="70"/>
        <v>0.8466157915690122</v>
      </c>
      <c r="S137" s="4">
        <f t="shared" si="70"/>
        <v>0.8841463646678474</v>
      </c>
      <c r="T137" s="4">
        <f t="shared" si="70"/>
        <v>0.8543674976102871</v>
      </c>
      <c r="U137" s="4">
        <f t="shared" si="70"/>
        <v>0.828889958612893</v>
      </c>
      <c r="V137" s="4">
        <f t="shared" si="70"/>
        <v>0.8574004410223254</v>
      </c>
      <c r="W137" s="4">
        <f t="shared" si="70"/>
        <v>0.8615327319201445</v>
      </c>
      <c r="X137" s="4">
        <f t="shared" si="70"/>
        <v>0.8107965361838948</v>
      </c>
      <c r="Y137" s="4">
        <f t="shared" si="70"/>
        <v>0.859144111869656</v>
      </c>
      <c r="Z137" s="4">
        <f t="shared" si="70"/>
        <v>0.7769534543990549</v>
      </c>
      <c r="AA137" s="4">
        <f t="shared" si="70"/>
        <v>0.824573684863025</v>
      </c>
      <c r="AB137" s="4">
        <f t="shared" si="70"/>
        <v>0.7959615694663816</v>
      </c>
      <c r="AC137" s="4">
        <f t="shared" si="70"/>
        <v>0.7892880074176061</v>
      </c>
      <c r="AD137" s="4">
        <f t="shared" si="70"/>
        <v>0.8719308596112194</v>
      </c>
      <c r="AE137" s="4">
        <f t="shared" si="70"/>
        <v>0.865136931650962</v>
      </c>
      <c r="AF137" s="4">
        <f t="shared" si="70"/>
        <v>0.8543215883038782</v>
      </c>
      <c r="AG137" s="4">
        <f t="shared" si="70"/>
        <v>0.8129420523742914</v>
      </c>
      <c r="AH137" s="4">
        <f t="shared" si="70"/>
        <v>0.8049845985964977</v>
      </c>
      <c r="AI137" s="4">
        <f t="shared" si="70"/>
        <v>0.79470467861838</v>
      </c>
      <c r="AJ137" s="4">
        <f t="shared" si="70"/>
        <v>0.7810161677059636</v>
      </c>
      <c r="AK137" s="4">
        <f t="shared" si="70"/>
        <v>0.8143555556075189</v>
      </c>
      <c r="AL137" s="4">
        <f t="shared" si="70"/>
        <v>0.8380541613863178</v>
      </c>
      <c r="AM137" s="4">
        <f t="shared" si="70"/>
        <v>0.7912698412698412</v>
      </c>
      <c r="AN137" s="4">
        <f t="shared" si="70"/>
        <v>0.9409525502043717</v>
      </c>
      <c r="AO137" s="4">
        <f t="shared" si="70"/>
        <v>0.9462026482016905</v>
      </c>
      <c r="AP137" s="4">
        <f t="shared" si="70"/>
        <v>0.9843984386395235</v>
      </c>
    </row>
    <row r="138" spans="1:42" ht="12.75">
      <c r="A138" t="s">
        <v>25</v>
      </c>
      <c r="M138" s="5">
        <v>25466219</v>
      </c>
      <c r="N138" s="5">
        <v>28620330</v>
      </c>
      <c r="O138">
        <v>28491255</v>
      </c>
      <c r="P138">
        <v>30261077</v>
      </c>
      <c r="Q138">
        <v>25641072</v>
      </c>
      <c r="R138" s="5">
        <v>25745015</v>
      </c>
      <c r="S138" s="5">
        <v>26380663</v>
      </c>
      <c r="T138" s="5">
        <v>31905823</v>
      </c>
      <c r="U138" s="5">
        <v>28508893</v>
      </c>
      <c r="V138" s="5">
        <v>30633521</v>
      </c>
      <c r="W138" s="5">
        <v>33890592</v>
      </c>
      <c r="X138" s="5">
        <v>32662391</v>
      </c>
      <c r="Y138" s="5">
        <v>32712148</v>
      </c>
      <c r="Z138" s="5">
        <v>34144353</v>
      </c>
      <c r="AA138" s="5">
        <v>35554417</v>
      </c>
      <c r="AB138" s="5">
        <v>34786202</v>
      </c>
      <c r="AC138" s="5">
        <v>36391169</v>
      </c>
      <c r="AD138" s="5">
        <v>38605474</v>
      </c>
      <c r="AE138" s="5">
        <v>34748295</v>
      </c>
      <c r="AF138" s="5">
        <v>42775562</v>
      </c>
      <c r="AG138" s="5">
        <v>42805311</v>
      </c>
      <c r="AH138" s="5">
        <v>47238659</v>
      </c>
      <c r="AI138" s="5">
        <v>43408130</v>
      </c>
      <c r="AJ138" s="5">
        <v>42534970</v>
      </c>
      <c r="AK138" s="5">
        <v>52185231</v>
      </c>
      <c r="AL138" s="4"/>
      <c r="AM138" s="4"/>
      <c r="AN138" s="4"/>
      <c r="AO138" s="4"/>
      <c r="AP138" s="4"/>
    </row>
    <row r="139" spans="1:42" ht="12.75">
      <c r="A139" t="s">
        <v>35</v>
      </c>
      <c r="M139" s="5">
        <v>3733028</v>
      </c>
      <c r="N139" s="5">
        <v>3786984</v>
      </c>
      <c r="O139">
        <v>3804915</v>
      </c>
      <c r="P139">
        <v>3852602</v>
      </c>
      <c r="Q139">
        <v>3870072</v>
      </c>
      <c r="R139" s="5">
        <v>3762160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4"/>
      <c r="AM139" s="4"/>
      <c r="AN139" s="4"/>
      <c r="AO139" s="4"/>
      <c r="AP139" s="4"/>
    </row>
    <row r="140" spans="1:14" ht="12.75">
      <c r="A140" t="s">
        <v>28</v>
      </c>
      <c r="M140">
        <v>2982</v>
      </c>
      <c r="N140" s="4">
        <f>M140/(M140+M141)</f>
        <v>0.29292730844793713</v>
      </c>
    </row>
    <row r="141" spans="1:13" ht="12.75">
      <c r="A141" t="s">
        <v>29</v>
      </c>
      <c r="M141">
        <v>7198</v>
      </c>
    </row>
    <row r="142" spans="1:42" ht="12.75">
      <c r="A142" t="s">
        <v>36</v>
      </c>
      <c r="M142" s="6">
        <f>M138/2982</f>
        <v>8539.979543930249</v>
      </c>
      <c r="N142" s="6">
        <f aca="true" t="shared" si="71" ref="N142:AP142">N138/2982</f>
        <v>9597.696177062375</v>
      </c>
      <c r="O142" s="6">
        <f t="shared" si="71"/>
        <v>9554.411468812878</v>
      </c>
      <c r="P142" s="6">
        <f t="shared" si="71"/>
        <v>10147.913145539906</v>
      </c>
      <c r="Q142" s="6">
        <f t="shared" si="71"/>
        <v>8598.61569416499</v>
      </c>
      <c r="R142" s="6">
        <f t="shared" si="71"/>
        <v>8633.472501676728</v>
      </c>
      <c r="S142" s="6">
        <f t="shared" si="71"/>
        <v>8846.634138162308</v>
      </c>
      <c r="T142" s="6">
        <f t="shared" si="71"/>
        <v>10699.471160295105</v>
      </c>
      <c r="U142" s="6">
        <f t="shared" si="71"/>
        <v>9560.326291079813</v>
      </c>
      <c r="V142" s="6">
        <f t="shared" si="71"/>
        <v>10272.810529845741</v>
      </c>
      <c r="W142" s="6">
        <f t="shared" si="71"/>
        <v>11365.054325955734</v>
      </c>
      <c r="X142" s="6">
        <f t="shared" si="71"/>
        <v>10953.182763246143</v>
      </c>
      <c r="Y142" s="6">
        <f t="shared" si="71"/>
        <v>10969.868544600939</v>
      </c>
      <c r="Z142" s="6">
        <f t="shared" si="71"/>
        <v>11450.151911468813</v>
      </c>
      <c r="AA142" s="6">
        <f t="shared" si="71"/>
        <v>11923.010395707579</v>
      </c>
      <c r="AB142" s="6">
        <f t="shared" si="71"/>
        <v>11665.39302481556</v>
      </c>
      <c r="AC142" s="6">
        <f t="shared" si="71"/>
        <v>12203.611334674715</v>
      </c>
      <c r="AD142" s="6">
        <f t="shared" si="71"/>
        <v>12946.168343393696</v>
      </c>
      <c r="AE142" s="6">
        <f t="shared" si="71"/>
        <v>11652.681086519115</v>
      </c>
      <c r="AF142" s="6">
        <f t="shared" si="71"/>
        <v>14344.588195841718</v>
      </c>
      <c r="AG142" s="6">
        <f t="shared" si="71"/>
        <v>14354.564386317907</v>
      </c>
      <c r="AH142" s="6">
        <f t="shared" si="71"/>
        <v>15841.267270288397</v>
      </c>
      <c r="AI142" s="6">
        <f t="shared" si="71"/>
        <v>14556.716968477533</v>
      </c>
      <c r="AJ142" s="6">
        <f t="shared" si="71"/>
        <v>14263.906773977196</v>
      </c>
      <c r="AK142" s="6">
        <f t="shared" si="71"/>
        <v>17500.077464788734</v>
      </c>
      <c r="AL142" s="6"/>
      <c r="AM142" s="6">
        <f t="shared" si="71"/>
        <v>0</v>
      </c>
      <c r="AN142" s="6">
        <f t="shared" si="71"/>
        <v>0</v>
      </c>
      <c r="AO142" s="6">
        <f t="shared" si="71"/>
        <v>0</v>
      </c>
      <c r="AP142" s="6">
        <f t="shared" si="71"/>
        <v>0</v>
      </c>
    </row>
    <row r="144" spans="1:42" ht="12.75">
      <c r="A144" t="s">
        <v>20</v>
      </c>
      <c r="M144" s="4">
        <f>(M105+M115+M125)/(M104+M114+M124)</f>
        <v>0.7209790339672963</v>
      </c>
      <c r="N144" s="4">
        <f aca="true" t="shared" si="72" ref="N144:AD144">(N105+N115+N125)/(N104+N114+N124)</f>
        <v>0.7474311394181953</v>
      </c>
      <c r="O144" s="4">
        <f t="shared" si="72"/>
        <v>0.7606326774200183</v>
      </c>
      <c r="P144" s="4">
        <f t="shared" si="72"/>
        <v>0.7557614046363103</v>
      </c>
      <c r="Q144" s="4">
        <f t="shared" si="72"/>
        <v>0.7632625916660452</v>
      </c>
      <c r="R144" s="4">
        <f t="shared" si="72"/>
        <v>0.7667911432897674</v>
      </c>
      <c r="S144" s="4">
        <f t="shared" si="72"/>
        <v>0.7610053306973298</v>
      </c>
      <c r="T144" s="4">
        <f t="shared" si="72"/>
        <v>0.7943751223448209</v>
      </c>
      <c r="U144" s="4">
        <f t="shared" si="72"/>
        <v>0.7755213353071133</v>
      </c>
      <c r="V144" s="4">
        <f t="shared" si="72"/>
        <v>0.7891860103854851</v>
      </c>
      <c r="W144" s="4">
        <f t="shared" si="72"/>
        <v>0.8107453881853085</v>
      </c>
      <c r="X144" s="4">
        <f t="shared" si="72"/>
        <v>0.8125506766839986</v>
      </c>
      <c r="Y144" s="4">
        <f t="shared" si="72"/>
        <v>0.8062204172915917</v>
      </c>
      <c r="Z144" s="4">
        <f t="shared" si="72"/>
        <v>0.8003548113391884</v>
      </c>
      <c r="AA144" s="4">
        <f t="shared" si="72"/>
        <v>0.8111126473183287</v>
      </c>
      <c r="AB144" s="4">
        <f t="shared" si="72"/>
        <v>0.7986657115507965</v>
      </c>
      <c r="AC144" s="4">
        <f t="shared" si="72"/>
        <v>0.7730116118478937</v>
      </c>
      <c r="AD144" s="4">
        <f t="shared" si="72"/>
        <v>0.8301868524120178</v>
      </c>
      <c r="AE144" s="4">
        <f>(AE105+AE115+AE125)/(AE104+AE114+AE124)</f>
        <v>0.8181911456313673</v>
      </c>
      <c r="AF144" s="4">
        <v>0.83</v>
      </c>
      <c r="AG144" s="4">
        <v>0.844</v>
      </c>
      <c r="AH144" s="4">
        <v>0.828</v>
      </c>
      <c r="AI144" s="4">
        <v>0.824</v>
      </c>
      <c r="AJ144" s="4">
        <v>0.823</v>
      </c>
      <c r="AK144" s="4">
        <v>0.794</v>
      </c>
      <c r="AL144" s="4">
        <v>0.807</v>
      </c>
      <c r="AM144" s="4">
        <v>0.814</v>
      </c>
      <c r="AN144" s="4">
        <v>0.832</v>
      </c>
      <c r="AO144" s="4">
        <v>0.961</v>
      </c>
      <c r="AP144" s="4">
        <v>0.959</v>
      </c>
    </row>
    <row r="145" spans="13:42" ht="12.75"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28:42" ht="12.75">
      <c r="AB146" s="5"/>
      <c r="AC146" s="5"/>
      <c r="AD146" s="5"/>
      <c r="AE146" s="5"/>
      <c r="AF146" s="5"/>
      <c r="AG146" s="5"/>
      <c r="AH146" s="5"/>
      <c r="AI146" s="5"/>
      <c r="AJ146" s="5">
        <v>43095000</v>
      </c>
      <c r="AK146" s="5">
        <v>53175000</v>
      </c>
      <c r="AL146" s="5">
        <v>59407000</v>
      </c>
      <c r="AM146" s="5">
        <v>69924000</v>
      </c>
      <c r="AN146" s="5">
        <v>82685000</v>
      </c>
      <c r="AO146" s="5">
        <v>95482000</v>
      </c>
      <c r="AP146" s="5">
        <v>119908000</v>
      </c>
    </row>
    <row r="147" ht="12.75">
      <c r="A147" t="s">
        <v>21</v>
      </c>
    </row>
    <row r="148" spans="1:34" ht="12.75">
      <c r="A148" t="s">
        <v>22</v>
      </c>
      <c r="M148">
        <f aca="true" t="shared" si="73" ref="M148:AC148">M4+M135</f>
        <v>444322800</v>
      </c>
      <c r="N148">
        <f t="shared" si="73"/>
        <v>488886554</v>
      </c>
      <c r="O148">
        <f t="shared" si="73"/>
        <v>475630355</v>
      </c>
      <c r="P148">
        <f t="shared" si="73"/>
        <v>464204280</v>
      </c>
      <c r="Q148">
        <f t="shared" si="73"/>
        <v>426184488</v>
      </c>
      <c r="R148">
        <f t="shared" si="73"/>
        <v>444215994</v>
      </c>
      <c r="S148">
        <f t="shared" si="73"/>
        <v>447000703</v>
      </c>
      <c r="T148">
        <f t="shared" si="73"/>
        <v>472516819</v>
      </c>
      <c r="U148">
        <f t="shared" si="73"/>
        <v>459389949</v>
      </c>
      <c r="V148">
        <f t="shared" si="73"/>
        <v>455392022</v>
      </c>
      <c r="W148">
        <f t="shared" si="73"/>
        <v>437644799</v>
      </c>
      <c r="X148">
        <f t="shared" si="73"/>
        <v>439949238</v>
      </c>
      <c r="Y148">
        <f t="shared" si="73"/>
        <v>424624686</v>
      </c>
      <c r="Z148">
        <f t="shared" si="73"/>
        <v>442070472</v>
      </c>
      <c r="AA148">
        <f t="shared" si="73"/>
        <v>449049427</v>
      </c>
      <c r="AB148">
        <f t="shared" si="73"/>
        <v>468949383</v>
      </c>
      <c r="AC148">
        <f t="shared" si="73"/>
        <v>501778253</v>
      </c>
      <c r="AD148">
        <v>527213685</v>
      </c>
      <c r="AE148">
        <f>AD148</f>
        <v>527213685</v>
      </c>
      <c r="AF148">
        <f>AD148</f>
        <v>527213685</v>
      </c>
      <c r="AG148">
        <f>AD148</f>
        <v>527213685</v>
      </c>
      <c r="AH148">
        <f>AD148</f>
        <v>527213685</v>
      </c>
    </row>
    <row r="149" spans="1:34" ht="12.75">
      <c r="A149" t="s">
        <v>23</v>
      </c>
      <c r="M149">
        <f aca="true" t="shared" si="74" ref="M149:AC149">M6+M136</f>
        <v>358966344</v>
      </c>
      <c r="N149">
        <f t="shared" si="74"/>
        <v>397809481</v>
      </c>
      <c r="O149">
        <f t="shared" si="74"/>
        <v>400162718</v>
      </c>
      <c r="P149">
        <f t="shared" si="74"/>
        <v>393711948</v>
      </c>
      <c r="Q149">
        <f t="shared" si="74"/>
        <v>366392226</v>
      </c>
      <c r="R149">
        <f t="shared" si="74"/>
        <v>372878956</v>
      </c>
      <c r="S149">
        <f t="shared" si="74"/>
        <v>381510449</v>
      </c>
      <c r="T149">
        <f t="shared" si="74"/>
        <v>394849252</v>
      </c>
      <c r="U149">
        <f t="shared" si="74"/>
        <v>377728574</v>
      </c>
      <c r="V149">
        <f t="shared" si="74"/>
        <v>381778134</v>
      </c>
      <c r="W149">
        <f t="shared" si="74"/>
        <v>366509942</v>
      </c>
      <c r="X149">
        <f t="shared" si="74"/>
        <v>352732170</v>
      </c>
      <c r="Y149">
        <f t="shared" si="74"/>
        <v>350201813</v>
      </c>
      <c r="Z149">
        <f t="shared" si="74"/>
        <v>347274889</v>
      </c>
      <c r="AA149">
        <f t="shared" si="74"/>
        <v>366843213</v>
      </c>
      <c r="AB149">
        <f t="shared" si="74"/>
        <v>372828713</v>
      </c>
      <c r="AC149">
        <f t="shared" si="74"/>
        <v>397337019</v>
      </c>
      <c r="AD149">
        <v>428956263</v>
      </c>
      <c r="AE149">
        <f>AE148-AE150</f>
        <v>413631237</v>
      </c>
      <c r="AF149">
        <f>AF148-AF150</f>
        <v>403923346</v>
      </c>
      <c r="AG149">
        <f>AG148-AG150</f>
        <v>403415528</v>
      </c>
      <c r="AH149">
        <f>AH148-AH150</f>
        <v>403415528</v>
      </c>
    </row>
    <row r="150" spans="14:34" ht="12.75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>
        <f>AD148-AD149</f>
        <v>98257422</v>
      </c>
      <c r="AE150">
        <f>AD150+15325026</f>
        <v>113582448</v>
      </c>
      <c r="AF150">
        <f>AD150+25032917</f>
        <v>123290339</v>
      </c>
      <c r="AG150">
        <f>AD150+25540735</f>
        <v>123798157</v>
      </c>
      <c r="AH150">
        <f>AD150+25540735</f>
        <v>123798157</v>
      </c>
    </row>
    <row r="151" spans="1:34" ht="12.75">
      <c r="A151" t="s">
        <v>24</v>
      </c>
      <c r="M151" s="4">
        <f>M149/M148</f>
        <v>0.8078953949696032</v>
      </c>
      <c r="N151" s="4">
        <f aca="true" t="shared" si="75" ref="N151:AC151">N149/N148</f>
        <v>0.8137050973179353</v>
      </c>
      <c r="O151" s="4">
        <f t="shared" si="75"/>
        <v>0.8413313275600335</v>
      </c>
      <c r="P151" s="4">
        <f t="shared" si="75"/>
        <v>0.8481437267230711</v>
      </c>
      <c r="Q151" s="4">
        <f t="shared" si="75"/>
        <v>0.8597033358004339</v>
      </c>
      <c r="R151" s="4">
        <f t="shared" si="75"/>
        <v>0.8394091186189933</v>
      </c>
      <c r="S151" s="4">
        <f t="shared" si="75"/>
        <v>0.8534895950711737</v>
      </c>
      <c r="T151" s="4">
        <f t="shared" si="75"/>
        <v>0.8356300476999529</v>
      </c>
      <c r="U151" s="4">
        <f t="shared" si="75"/>
        <v>0.822239526185193</v>
      </c>
      <c r="V151" s="4">
        <f t="shared" si="75"/>
        <v>0.8383505102335763</v>
      </c>
      <c r="W151" s="4">
        <f t="shared" si="75"/>
        <v>0.8374598369213112</v>
      </c>
      <c r="X151" s="4">
        <f t="shared" si="75"/>
        <v>0.8017565199192367</v>
      </c>
      <c r="Y151" s="4">
        <f t="shared" si="75"/>
        <v>0.8247325804322173</v>
      </c>
      <c r="Z151" s="4">
        <f t="shared" si="75"/>
        <v>0.7855645445597642</v>
      </c>
      <c r="AA151" s="4">
        <f t="shared" si="75"/>
        <v>0.8169328161730401</v>
      </c>
      <c r="AB151" s="4">
        <f t="shared" si="75"/>
        <v>0.7950297548424325</v>
      </c>
      <c r="AC151" s="4">
        <f t="shared" si="75"/>
        <v>0.791857791015108</v>
      </c>
      <c r="AD151" s="4">
        <f>AD149/AD148</f>
        <v>0.8136288476654395</v>
      </c>
      <c r="AE151" s="4">
        <f>AE149/AE148</f>
        <v>0.7845608882478079</v>
      </c>
      <c r="AF151" s="4">
        <f>AF149/AF148</f>
        <v>0.7661473089417244</v>
      </c>
      <c r="AG151" s="4">
        <f>AG149/AG148</f>
        <v>0.7651840979810681</v>
      </c>
      <c r="AH151" s="4">
        <f>AH149/AH148</f>
        <v>0.7651840979810681</v>
      </c>
    </row>
    <row r="155" spans="13:29" ht="12.75">
      <c r="M155">
        <v>37430224</v>
      </c>
      <c r="N155">
        <v>33691970</v>
      </c>
      <c r="O155">
        <v>30341487</v>
      </c>
      <c r="P155">
        <v>31474075</v>
      </c>
      <c r="R155">
        <v>30424471</v>
      </c>
      <c r="S155">
        <v>31871276</v>
      </c>
      <c r="T155">
        <v>37357898</v>
      </c>
      <c r="U155">
        <v>33333122</v>
      </c>
      <c r="V155">
        <v>37844053</v>
      </c>
      <c r="W155">
        <v>45097879</v>
      </c>
      <c r="X155">
        <v>45685312</v>
      </c>
      <c r="Y155">
        <v>49517423</v>
      </c>
      <c r="Z155">
        <v>57902000</v>
      </c>
      <c r="AA155">
        <v>59074000</v>
      </c>
      <c r="AB155">
        <v>60841000</v>
      </c>
      <c r="AC155">
        <v>58976000</v>
      </c>
    </row>
    <row r="156" ht="12.75">
      <c r="M156">
        <v>33691970</v>
      </c>
    </row>
    <row r="157" ht="12.75">
      <c r="M157">
        <v>30341487</v>
      </c>
    </row>
    <row r="158" ht="12.75">
      <c r="M158">
        <v>31474075</v>
      </c>
    </row>
    <row r="160" ht="12.75">
      <c r="M160">
        <v>30424471</v>
      </c>
    </row>
    <row r="161" ht="12.75">
      <c r="M161">
        <v>31871276</v>
      </c>
    </row>
    <row r="162" ht="12.75">
      <c r="M162">
        <v>37357898</v>
      </c>
    </row>
    <row r="163" ht="12.75">
      <c r="M163">
        <v>33333122</v>
      </c>
    </row>
    <row r="164" ht="12.75">
      <c r="M164">
        <v>37844053</v>
      </c>
    </row>
    <row r="165" ht="12.75">
      <c r="M165">
        <v>45097879</v>
      </c>
    </row>
    <row r="166" ht="12.75">
      <c r="M166">
        <v>45685312</v>
      </c>
    </row>
    <row r="167" ht="12.75">
      <c r="M167">
        <v>49517423</v>
      </c>
    </row>
    <row r="168" ht="12.75">
      <c r="M168">
        <v>57902000</v>
      </c>
    </row>
    <row r="169" ht="12.75">
      <c r="M169">
        <v>59074000</v>
      </c>
    </row>
    <row r="170" ht="12.75">
      <c r="M170">
        <v>60841000</v>
      </c>
    </row>
    <row r="171" ht="12.75">
      <c r="M171">
        <v>58976000</v>
      </c>
    </row>
  </sheetData>
  <mergeCells count="1">
    <mergeCell ref="A1:R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5"/>
  <sheetViews>
    <sheetView workbookViewId="0" topLeftCell="P1">
      <selection activeCell="Z40" sqref="Z40"/>
    </sheetView>
  </sheetViews>
  <sheetFormatPr defaultColWidth="9.140625" defaultRowHeight="12.75"/>
  <cols>
    <col min="3" max="3" width="18.57421875" style="0" customWidth="1"/>
    <col min="4" max="6" width="17.28125" style="0" customWidth="1"/>
    <col min="7" max="7" width="15.140625" style="0" customWidth="1"/>
    <col min="9" max="9" width="18.00390625" style="0" customWidth="1"/>
    <col min="10" max="10" width="11.7109375" style="0" bestFit="1" customWidth="1"/>
    <col min="20" max="20" width="20.00390625" style="0" customWidth="1"/>
    <col min="22" max="22" width="21.8515625" style="0" customWidth="1"/>
    <col min="23" max="23" width="19.28125" style="0" customWidth="1"/>
    <col min="25" max="25" width="13.8515625" style="0" bestFit="1" customWidth="1"/>
    <col min="26" max="26" width="16.7109375" style="0" customWidth="1"/>
    <col min="27" max="27" width="13.8515625" style="0" bestFit="1" customWidth="1"/>
  </cols>
  <sheetData>
    <row r="1" spans="6:23" ht="12.75">
      <c r="F1">
        <v>1945</v>
      </c>
      <c r="G1">
        <v>1946</v>
      </c>
      <c r="H1">
        <v>1947</v>
      </c>
      <c r="I1">
        <v>1948</v>
      </c>
      <c r="J1">
        <v>1949</v>
      </c>
      <c r="K1">
        <v>1950</v>
      </c>
      <c r="L1">
        <v>1951</v>
      </c>
      <c r="M1">
        <v>1952</v>
      </c>
      <c r="N1">
        <v>1953</v>
      </c>
      <c r="O1">
        <v>1954</v>
      </c>
      <c r="P1">
        <v>1955</v>
      </c>
      <c r="Q1">
        <v>1956</v>
      </c>
      <c r="R1">
        <v>1957</v>
      </c>
      <c r="S1">
        <v>1958</v>
      </c>
      <c r="T1">
        <v>1959</v>
      </c>
      <c r="U1">
        <v>1960</v>
      </c>
      <c r="V1">
        <v>1961</v>
      </c>
      <c r="W1">
        <v>1962</v>
      </c>
    </row>
    <row r="5" spans="2:4" ht="12.75">
      <c r="B5" t="s">
        <v>114</v>
      </c>
      <c r="C5">
        <f>75*500000</f>
        <v>37500000</v>
      </c>
      <c r="D5" s="17">
        <f>PMT(16%,10,C5,)</f>
        <v>-7758790.614996701</v>
      </c>
    </row>
    <row r="6" spans="2:24" ht="12.75">
      <c r="B6" t="s">
        <v>115</v>
      </c>
      <c r="C6" s="6">
        <f>750000*76</f>
        <v>57000000</v>
      </c>
      <c r="D6" s="17">
        <f>PMT(14%,10,C6,)</f>
        <v>-10927671.828078143</v>
      </c>
      <c r="X6" t="s">
        <v>122</v>
      </c>
    </row>
    <row r="8" spans="3:27" ht="12.75">
      <c r="C8" s="17">
        <f>SUM(C5:C6)</f>
        <v>94500000</v>
      </c>
      <c r="D8" s="17">
        <f>SUM(D5:D6)</f>
        <v>-18686462.443074845</v>
      </c>
      <c r="Y8" t="s">
        <v>123</v>
      </c>
      <c r="AA8" t="s">
        <v>130</v>
      </c>
    </row>
    <row r="9" spans="1:25" ht="12.75">
      <c r="A9" t="s">
        <v>116</v>
      </c>
      <c r="F9">
        <v>12133493</v>
      </c>
      <c r="G9">
        <v>12036814</v>
      </c>
      <c r="H9">
        <v>12517474</v>
      </c>
      <c r="I9">
        <v>15573456</v>
      </c>
      <c r="J9">
        <v>15223818</v>
      </c>
      <c r="K9">
        <v>14589217</v>
      </c>
      <c r="L9">
        <v>16327405</v>
      </c>
      <c r="M9">
        <v>15614472</v>
      </c>
      <c r="N9">
        <v>14305927</v>
      </c>
      <c r="O9">
        <v>12124999</v>
      </c>
      <c r="P9">
        <v>11982057</v>
      </c>
      <c r="Q9">
        <v>12655863</v>
      </c>
      <c r="R9">
        <v>13703786</v>
      </c>
      <c r="S9">
        <v>13180550</v>
      </c>
      <c r="T9">
        <v>13197294</v>
      </c>
      <c r="U9">
        <v>12448450</v>
      </c>
      <c r="V9">
        <v>10658156</v>
      </c>
      <c r="W9" s="6">
        <v>10913437</v>
      </c>
      <c r="X9">
        <v>1.75</v>
      </c>
      <c r="Y9" s="18">
        <f>W9/X9</f>
        <v>6236249.714285715</v>
      </c>
    </row>
    <row r="10" spans="1:25" ht="12.75">
      <c r="A10" t="s">
        <v>117</v>
      </c>
      <c r="F10">
        <v>9638564</v>
      </c>
      <c r="G10">
        <v>10386902</v>
      </c>
      <c r="H10">
        <v>12621795</v>
      </c>
      <c r="I10">
        <v>15645584</v>
      </c>
      <c r="J10">
        <v>13302013</v>
      </c>
      <c r="K10">
        <v>13527558</v>
      </c>
      <c r="L10">
        <v>12521647</v>
      </c>
      <c r="M10">
        <v>11288567</v>
      </c>
      <c r="N10">
        <v>10310008</v>
      </c>
      <c r="O10">
        <v>8429801</v>
      </c>
      <c r="P10">
        <v>7799279</v>
      </c>
      <c r="Q10">
        <v>8709302</v>
      </c>
      <c r="R10">
        <v>8501211</v>
      </c>
      <c r="S10">
        <v>7422354</v>
      </c>
      <c r="T10">
        <v>7758785</v>
      </c>
      <c r="U10">
        <v>7243332</v>
      </c>
      <c r="V10">
        <v>6913371</v>
      </c>
      <c r="W10" s="6">
        <v>7240054</v>
      </c>
      <c r="X10">
        <v>1.07</v>
      </c>
      <c r="Y10" s="18">
        <f>W10/X10</f>
        <v>6766405.607476635</v>
      </c>
    </row>
    <row r="11" spans="1:23" ht="12.75">
      <c r="A11" t="s">
        <v>118</v>
      </c>
      <c r="F11">
        <v>1647153.341025595</v>
      </c>
      <c r="G11">
        <v>2033508.3368324046</v>
      </c>
      <c r="H11">
        <v>2072967.27907753</v>
      </c>
      <c r="I11">
        <v>2150748.3795678434</v>
      </c>
      <c r="J11">
        <v>3039862.753746889</v>
      </c>
      <c r="K11">
        <v>4214585.229094555</v>
      </c>
      <c r="L11">
        <v>5906839.941341423</v>
      </c>
      <c r="M11">
        <v>6412848.88174689</v>
      </c>
      <c r="N11">
        <v>6961952.44397301</v>
      </c>
      <c r="O11">
        <v>8662908.144500254</v>
      </c>
      <c r="P11">
        <v>9581086.158401629</v>
      </c>
      <c r="Q11">
        <v>10380881.882856045</v>
      </c>
      <c r="R11">
        <v>10396681.621207405</v>
      </c>
      <c r="S11">
        <v>10531230.590680836</v>
      </c>
      <c r="T11">
        <v>11372441.149673559</v>
      </c>
      <c r="U11">
        <v>11341440.99628581</v>
      </c>
      <c r="V11">
        <v>11345153.702416738</v>
      </c>
      <c r="W11" s="6">
        <v>11348637.3909087</v>
      </c>
    </row>
    <row r="12" spans="1:25" ht="12.75">
      <c r="A12" t="s">
        <v>119</v>
      </c>
      <c r="F12">
        <v>52326187</v>
      </c>
      <c r="G12">
        <v>50242184</v>
      </c>
      <c r="H12">
        <v>55204075</v>
      </c>
      <c r="I12">
        <v>53251082</v>
      </c>
      <c r="J12">
        <v>46245916</v>
      </c>
      <c r="K12">
        <v>50164902</v>
      </c>
      <c r="L12">
        <v>51740580</v>
      </c>
      <c r="M12">
        <v>49522089</v>
      </c>
      <c r="N12">
        <v>46810989</v>
      </c>
      <c r="O12">
        <v>43123214</v>
      </c>
      <c r="P12">
        <v>45481060</v>
      </c>
      <c r="Q12">
        <v>45351213</v>
      </c>
      <c r="R12">
        <v>42951573</v>
      </c>
      <c r="S12">
        <v>41259931</v>
      </c>
      <c r="T12">
        <v>41182762</v>
      </c>
      <c r="U12">
        <v>39147703</v>
      </c>
      <c r="V12">
        <v>37300275</v>
      </c>
      <c r="W12">
        <v>39513106</v>
      </c>
      <c r="X12">
        <v>39627042</v>
      </c>
      <c r="Y12">
        <v>40765392</v>
      </c>
    </row>
    <row r="13" spans="1:29" ht="12.75">
      <c r="A13" t="s">
        <v>121</v>
      </c>
      <c r="F13">
        <v>18182060000</v>
      </c>
      <c r="G13">
        <v>15744422</v>
      </c>
      <c r="L13">
        <v>16732324</v>
      </c>
      <c r="M13">
        <v>16005310</v>
      </c>
      <c r="T13">
        <v>14121940000</v>
      </c>
      <c r="U13">
        <v>13604642000</v>
      </c>
      <c r="V13">
        <v>13223111</v>
      </c>
      <c r="W13">
        <v>14139668</v>
      </c>
      <c r="Z13" s="6">
        <f>W19+W20</f>
        <v>21772057</v>
      </c>
      <c r="AA13" s="18">
        <f>W19-Y9+W20-Y10</f>
        <v>8769401.67823765</v>
      </c>
      <c r="AC13" s="8">
        <f>AA13/Z13</f>
        <v>0.40278241409333304</v>
      </c>
    </row>
    <row r="14" spans="1:29" ht="12.75">
      <c r="A14" t="s">
        <v>120</v>
      </c>
      <c r="Z14" t="s">
        <v>132</v>
      </c>
      <c r="AA14">
        <f>W12/W22</f>
        <v>0.755130619397129</v>
      </c>
      <c r="AC14" s="8" t="e">
        <f>AA14/Z14</f>
        <v>#VALUE!</v>
      </c>
    </row>
    <row r="15" spans="27:29" ht="12.75">
      <c r="AA15" s="18">
        <f>AA13*AA14</f>
        <v>6622043.72102982</v>
      </c>
      <c r="AC15" s="8">
        <f>AA15/Z13</f>
        <v>0.3041533338365695</v>
      </c>
    </row>
    <row r="16" spans="27:29" ht="12.75">
      <c r="AA16" t="s">
        <v>131</v>
      </c>
      <c r="AC16" s="8"/>
    </row>
    <row r="17" spans="26:29" ht="12.75">
      <c r="Z17" s="6">
        <f>W21</f>
        <v>1647153.341025595</v>
      </c>
      <c r="AA17" s="27">
        <v>11345154</v>
      </c>
      <c r="AC17" s="8">
        <f>AA17/Z17</f>
        <v>6.887733957383697</v>
      </c>
    </row>
    <row r="18" spans="5:27" ht="12.75">
      <c r="E18">
        <v>1945</v>
      </c>
      <c r="G18" s="7">
        <v>1948</v>
      </c>
      <c r="I18">
        <v>1962</v>
      </c>
      <c r="J18" t="s">
        <v>106</v>
      </c>
      <c r="K18" t="s">
        <v>107</v>
      </c>
      <c r="W18">
        <v>1945</v>
      </c>
      <c r="Y18" t="s">
        <v>124</v>
      </c>
      <c r="AA18" s="27">
        <f>AA17-Z17</f>
        <v>9698000.658974405</v>
      </c>
    </row>
    <row r="19" spans="4:25" ht="12.75">
      <c r="D19" t="s">
        <v>99</v>
      </c>
      <c r="E19" s="6">
        <v>228946936</v>
      </c>
      <c r="F19" s="8">
        <f>E19/$E$19</f>
        <v>1</v>
      </c>
      <c r="G19" s="6">
        <v>254082710</v>
      </c>
      <c r="I19" s="6">
        <v>227664109</v>
      </c>
      <c r="J19" s="8">
        <f>(I19-G19)/G19</f>
        <v>-0.10397638233628727</v>
      </c>
      <c r="K19" s="8">
        <f>(I19-E19)/E19</f>
        <v>-0.005603162996686708</v>
      </c>
      <c r="V19" t="s">
        <v>116</v>
      </c>
      <c r="W19" s="6">
        <v>12133493</v>
      </c>
      <c r="X19">
        <v>1.75</v>
      </c>
      <c r="Y19" s="18">
        <f>W19*X19</f>
        <v>21233612.75</v>
      </c>
    </row>
    <row r="20" spans="4:25" ht="12.75">
      <c r="D20" t="s">
        <v>103</v>
      </c>
      <c r="E20" s="6">
        <v>186859417</v>
      </c>
      <c r="F20" s="8">
        <f aca="true" t="shared" si="0" ref="F20:F27">E20/$E$19</f>
        <v>0.8161691100334272</v>
      </c>
      <c r="G20">
        <v>210276587</v>
      </c>
      <c r="I20">
        <v>180984293</v>
      </c>
      <c r="J20" s="8">
        <f>(I20-G20)/G20</f>
        <v>-0.13930364011472185</v>
      </c>
      <c r="K20" s="8">
        <f aca="true" t="shared" si="1" ref="K20:K31">(I20-E20)/E20</f>
        <v>-0.03144141244965995</v>
      </c>
      <c r="V20" t="s">
        <v>117</v>
      </c>
      <c r="W20" s="6">
        <v>9638564</v>
      </c>
      <c r="X20">
        <v>1.07</v>
      </c>
      <c r="Y20" s="18">
        <f>W20*X20</f>
        <v>10313263.48</v>
      </c>
    </row>
    <row r="21" spans="4:23" ht="12.75">
      <c r="D21" t="s">
        <v>102</v>
      </c>
      <c r="E21">
        <v>52326187</v>
      </c>
      <c r="F21" s="8">
        <f t="shared" si="0"/>
        <v>0.22855159328273342</v>
      </c>
      <c r="G21" s="23">
        <v>53251082</v>
      </c>
      <c r="I21" s="5">
        <v>39513106</v>
      </c>
      <c r="J21" s="8">
        <f aca="true" t="shared" si="2" ref="J21:J30">(I21-G21)/G21</f>
        <v>-0.2579849175646797</v>
      </c>
      <c r="K21" s="8">
        <f t="shared" si="1"/>
        <v>-0.244869380602871</v>
      </c>
      <c r="V21" t="s">
        <v>118</v>
      </c>
      <c r="W21" s="6">
        <v>1647153.341025595</v>
      </c>
    </row>
    <row r="22" spans="6:23" ht="12.75">
      <c r="F22" s="8">
        <f t="shared" si="0"/>
        <v>0</v>
      </c>
      <c r="G22" s="23"/>
      <c r="I22" s="5"/>
      <c r="J22" s="8"/>
      <c r="K22" s="8"/>
      <c r="V22" t="s">
        <v>119</v>
      </c>
      <c r="W22">
        <v>52326187</v>
      </c>
    </row>
    <row r="23" spans="4:23" ht="12.75">
      <c r="D23" t="s">
        <v>104</v>
      </c>
      <c r="E23" s="6">
        <v>9638564</v>
      </c>
      <c r="F23" s="8">
        <f t="shared" si="0"/>
        <v>0.04209955445745734</v>
      </c>
      <c r="G23" s="23">
        <v>15645584</v>
      </c>
      <c r="I23" s="5">
        <v>7240054</v>
      </c>
      <c r="J23" s="8">
        <f t="shared" si="2"/>
        <v>-0.5372461647964052</v>
      </c>
      <c r="K23" s="8">
        <f t="shared" si="1"/>
        <v>-0.2488451599221627</v>
      </c>
      <c r="V23" t="s">
        <v>121</v>
      </c>
      <c r="W23">
        <v>18182060000</v>
      </c>
    </row>
    <row r="24" spans="4:22" ht="12.75">
      <c r="D24" t="s">
        <v>105</v>
      </c>
      <c r="E24" s="6">
        <v>12133493</v>
      </c>
      <c r="F24" s="8">
        <f t="shared" si="0"/>
        <v>0.052996966074269715</v>
      </c>
      <c r="G24" s="23">
        <v>15573456</v>
      </c>
      <c r="I24" s="5">
        <v>10913437</v>
      </c>
      <c r="J24" s="8">
        <f t="shared" si="2"/>
        <v>-0.29922831515368203</v>
      </c>
      <c r="K24" s="8">
        <f t="shared" si="1"/>
        <v>-0.10055274272627017</v>
      </c>
      <c r="V24" t="s">
        <v>120</v>
      </c>
    </row>
    <row r="25" spans="4:13" ht="12.75">
      <c r="D25" t="s">
        <v>101</v>
      </c>
      <c r="E25" s="6">
        <v>23419210.341025595</v>
      </c>
      <c r="F25" s="8">
        <f t="shared" si="0"/>
        <v>0.10229099698903851</v>
      </c>
      <c r="G25" s="6">
        <v>33369788.379567843</v>
      </c>
      <c r="H25" s="6"/>
      <c r="I25" s="6">
        <v>29502128.3909087</v>
      </c>
      <c r="J25" s="8">
        <f t="shared" si="2"/>
        <v>-0.11590304213697959</v>
      </c>
      <c r="K25" s="8">
        <f>(I25-E25)/E25</f>
        <v>0.25974052759699995</v>
      </c>
      <c r="M25">
        <f>I25/I19</f>
        <v>0.1295862071562132</v>
      </c>
    </row>
    <row r="26" spans="5:26" ht="12.75">
      <c r="E26" s="6">
        <v>1647153.341025595</v>
      </c>
      <c r="F26" s="8">
        <f t="shared" si="0"/>
        <v>0.0071944764573114665</v>
      </c>
      <c r="G26" s="6"/>
      <c r="H26" s="6"/>
      <c r="I26" s="6">
        <v>11348637.3909087</v>
      </c>
      <c r="J26" s="8"/>
      <c r="K26" s="8">
        <f>(I26-E26)/E26</f>
        <v>5.889848751933748</v>
      </c>
      <c r="Y26">
        <v>1945</v>
      </c>
      <c r="Z26">
        <v>1962</v>
      </c>
    </row>
    <row r="27" spans="4:27" ht="12.75">
      <c r="D27" t="s">
        <v>100</v>
      </c>
      <c r="E27" s="6">
        <v>44931431</v>
      </c>
      <c r="F27" s="8">
        <f t="shared" si="0"/>
        <v>0.19625259802559664</v>
      </c>
      <c r="G27" s="6">
        <v>39233214</v>
      </c>
      <c r="H27" s="6"/>
      <c r="I27" s="6">
        <v>26480999</v>
      </c>
      <c r="J27" s="8">
        <f t="shared" si="2"/>
        <v>-0.3250362052927909</v>
      </c>
      <c r="K27" s="8">
        <f t="shared" si="1"/>
        <v>-0.41063530783161567</v>
      </c>
      <c r="W27" t="s">
        <v>125</v>
      </c>
      <c r="Y27" s="24">
        <f>(W19+W20+W21)/W22</f>
        <v>0.44756195097926005</v>
      </c>
      <c r="Z27" s="18">
        <f>(W9+W10+W11)/W12</f>
        <v>0.7466415925619388</v>
      </c>
      <c r="AA27">
        <f>Z27*V12/(V13*1000)</f>
        <v>0.002106156163175086</v>
      </c>
    </row>
    <row r="28" spans="10:26" ht="12.75">
      <c r="J28" s="8"/>
      <c r="K28" s="8"/>
      <c r="W28" t="s">
        <v>126</v>
      </c>
      <c r="Z28" s="18">
        <f>(Y9+Y10+W11)/W12</f>
        <v>0.6162839416539679</v>
      </c>
    </row>
    <row r="29" spans="10:26" ht="12.75">
      <c r="J29" s="8"/>
      <c r="K29" s="8"/>
      <c r="W29" t="s">
        <v>127</v>
      </c>
      <c r="Y29" s="25">
        <f>(W19+W20+W21)/W23</f>
        <v>0.0012880394378318846</v>
      </c>
      <c r="Z29" s="26">
        <f>(Y9+Y10+W11)/(W13*1000)</f>
        <v>0.0017221969223514336</v>
      </c>
    </row>
    <row r="30" spans="5:26" ht="12.75">
      <c r="E30" s="6">
        <f>E25+E27</f>
        <v>68350641.34102559</v>
      </c>
      <c r="F30" s="6"/>
      <c r="G30" s="6">
        <f>G25+G27</f>
        <v>72603002.37956785</v>
      </c>
      <c r="H30" s="6">
        <f>H25+H27</f>
        <v>0</v>
      </c>
      <c r="I30" s="6">
        <f>I25+I27</f>
        <v>55983127.3909087</v>
      </c>
      <c r="J30" s="8">
        <f t="shared" si="2"/>
        <v>-0.22891443113840645</v>
      </c>
      <c r="K30" s="8">
        <f t="shared" si="1"/>
        <v>-0.18094217855851527</v>
      </c>
      <c r="W30" t="s">
        <v>129</v>
      </c>
      <c r="Y30">
        <v>0.0012411694192085358</v>
      </c>
      <c r="Z30">
        <v>0.00129758621099074</v>
      </c>
    </row>
    <row r="31" spans="5:26" ht="12.75">
      <c r="E31">
        <v>15110190</v>
      </c>
      <c r="I31">
        <v>128195038</v>
      </c>
      <c r="K31" s="8">
        <f t="shared" si="1"/>
        <v>7.484012312221091</v>
      </c>
      <c r="Y31">
        <v>0.0012</v>
      </c>
      <c r="Z31">
        <v>0.0013</v>
      </c>
    </row>
    <row r="32" spans="21:22" ht="12.75">
      <c r="U32">
        <v>0.42</v>
      </c>
      <c r="V32">
        <v>0.47</v>
      </c>
    </row>
    <row r="33" spans="9:22" ht="12.75">
      <c r="I33">
        <f>I31-E31</f>
        <v>113084848</v>
      </c>
      <c r="U33">
        <v>0.47</v>
      </c>
      <c r="V33">
        <v>0.47</v>
      </c>
    </row>
    <row r="34" spans="21:22" ht="12.75">
      <c r="U34">
        <v>0.44</v>
      </c>
      <c r="V34">
        <v>0.45</v>
      </c>
    </row>
    <row r="35" spans="3:22" ht="12.75">
      <c r="C35" t="s">
        <v>99</v>
      </c>
      <c r="D35" t="s">
        <v>109</v>
      </c>
      <c r="E35" t="s">
        <v>108</v>
      </c>
      <c r="I35" s="18">
        <f>I19/1.75</f>
        <v>130093776.57142857</v>
      </c>
      <c r="J35" s="8">
        <f>I35/$I$35</f>
        <v>1</v>
      </c>
      <c r="U35">
        <v>0.44</v>
      </c>
      <c r="V35">
        <v>0.43</v>
      </c>
    </row>
    <row r="36" spans="3:26" ht="12.75">
      <c r="C36" t="s">
        <v>103</v>
      </c>
      <c r="I36" s="18">
        <f aca="true" t="shared" si="3" ref="I36:I47">I20/1.75</f>
        <v>103419596</v>
      </c>
      <c r="J36" s="8">
        <f aca="true" t="shared" si="4" ref="J36:J47">I36/$I$35</f>
        <v>0.7949619015266038</v>
      </c>
      <c r="U36">
        <f>AVERAGE(U32:U35)</f>
        <v>0.44249999999999995</v>
      </c>
      <c r="V36">
        <f>AVERAGE(V32:V35)</f>
        <v>0.45499999999999996</v>
      </c>
      <c r="Y36">
        <f>1.36*0.9</f>
        <v>1.2240000000000002</v>
      </c>
      <c r="Z36">
        <f>0.059</f>
        <v>0.059</v>
      </c>
    </row>
    <row r="37" spans="3:25" ht="12.75">
      <c r="C37" t="s">
        <v>102</v>
      </c>
      <c r="I37" s="18">
        <f t="shared" si="3"/>
        <v>22578917.714285713</v>
      </c>
      <c r="J37" s="8">
        <f t="shared" si="4"/>
        <v>0.1735587843580562</v>
      </c>
      <c r="T37" t="s">
        <v>128</v>
      </c>
      <c r="U37">
        <v>0.44</v>
      </c>
      <c r="V37">
        <v>0.46</v>
      </c>
      <c r="Y37">
        <f>Y36-Z36</f>
        <v>1.1650000000000003</v>
      </c>
    </row>
    <row r="38" spans="9:25" ht="12.75">
      <c r="I38" s="18">
        <f t="shared" si="3"/>
        <v>0</v>
      </c>
      <c r="J38" s="8">
        <f t="shared" si="4"/>
        <v>0</v>
      </c>
      <c r="Y38">
        <f>V39*Y37</f>
        <v>0.0015116879358042146</v>
      </c>
    </row>
    <row r="39" spans="3:25" ht="12.75">
      <c r="C39" t="s">
        <v>104</v>
      </c>
      <c r="I39" s="18">
        <f t="shared" si="3"/>
        <v>4137173.714285714</v>
      </c>
      <c r="J39" s="8">
        <f t="shared" si="4"/>
        <v>0.031801472932213484</v>
      </c>
      <c r="T39" t="s">
        <v>129</v>
      </c>
      <c r="U39">
        <f>U37*V12/(V13*1000)</f>
        <v>0.0012411694192085358</v>
      </c>
      <c r="V39">
        <f>V37*V12/(V13*1000)</f>
        <v>0.001297586210990742</v>
      </c>
      <c r="X39" t="s">
        <v>87</v>
      </c>
      <c r="Y39" s="36">
        <f>Y38*Y37</f>
        <v>0.0017611164452119104</v>
      </c>
    </row>
    <row r="40" spans="3:25" ht="12.75">
      <c r="C40" t="s">
        <v>105</v>
      </c>
      <c r="I40" s="18">
        <f t="shared" si="3"/>
        <v>6236249.714285715</v>
      </c>
      <c r="J40" s="8">
        <f t="shared" si="4"/>
        <v>0.047936572206908556</v>
      </c>
      <c r="U40">
        <v>0.00176</v>
      </c>
      <c r="V40">
        <f>(1.36)</f>
        <v>1.36</v>
      </c>
      <c r="X40" t="s">
        <v>88</v>
      </c>
      <c r="Y40" s="36">
        <f>Y39-V39</f>
        <v>0.0004635302342211685</v>
      </c>
    </row>
    <row r="41" spans="3:25" ht="12.75">
      <c r="C41" t="s">
        <v>101</v>
      </c>
      <c r="I41" s="18">
        <f>I25/1.75</f>
        <v>16858359.080519255</v>
      </c>
      <c r="J41" s="8">
        <f t="shared" si="4"/>
        <v>0.1295862071562132</v>
      </c>
      <c r="Y41" s="36">
        <f>Y39-Y40</f>
        <v>0.001297586210990742</v>
      </c>
    </row>
    <row r="42" spans="9:10" ht="12.75">
      <c r="I42" s="18">
        <f t="shared" si="3"/>
        <v>6484935.651947828</v>
      </c>
      <c r="J42" s="8">
        <f t="shared" si="4"/>
        <v>0.04984816201709115</v>
      </c>
    </row>
    <row r="43" spans="3:25" ht="12.75">
      <c r="C43" t="s">
        <v>100</v>
      </c>
      <c r="I43" s="18">
        <f t="shared" si="3"/>
        <v>15131999.42857143</v>
      </c>
      <c r="J43" s="8">
        <f t="shared" si="4"/>
        <v>0.11631609003420035</v>
      </c>
      <c r="L43">
        <f>(11.63-10.23)/10.23</f>
        <v>0.13685239491691106</v>
      </c>
      <c r="Y43" s="8">
        <f>Y38/V39</f>
        <v>1.1650000000000003</v>
      </c>
    </row>
    <row r="44" spans="9:25" ht="12.75">
      <c r="I44" s="18">
        <f t="shared" si="3"/>
        <v>0</v>
      </c>
      <c r="J44" s="8">
        <f t="shared" si="4"/>
        <v>0</v>
      </c>
      <c r="Y44">
        <f>Y39/V39</f>
        <v>1.3572250000000006</v>
      </c>
    </row>
    <row r="45" spans="9:10" ht="12.75">
      <c r="I45" s="18">
        <f t="shared" si="3"/>
        <v>0</v>
      </c>
      <c r="J45" s="8">
        <f t="shared" si="4"/>
        <v>0</v>
      </c>
    </row>
    <row r="46" spans="9:10" ht="12.75">
      <c r="I46" s="18">
        <f t="shared" si="3"/>
        <v>31990358.509090688</v>
      </c>
      <c r="J46" s="8">
        <f t="shared" si="4"/>
        <v>0.24590229719041357</v>
      </c>
    </row>
    <row r="47" spans="9:10" ht="12.75">
      <c r="I47" s="18">
        <f t="shared" si="3"/>
        <v>73254307.42857143</v>
      </c>
      <c r="J47" s="8">
        <f t="shared" si="4"/>
        <v>0.5630884840086937</v>
      </c>
    </row>
    <row r="49" spans="4:6" ht="12.75">
      <c r="D49" t="s">
        <v>110</v>
      </c>
      <c r="E49" s="18">
        <f>E19*1.75</f>
        <v>400657138</v>
      </c>
      <c r="F49" s="18"/>
    </row>
    <row r="51" spans="8:9" ht="12.75">
      <c r="H51">
        <v>10.23</v>
      </c>
      <c r="I51" s="18">
        <f>I19*0.1023</f>
        <v>23290038.350700002</v>
      </c>
    </row>
    <row r="54" spans="6:9" ht="12.75">
      <c r="F54" t="s">
        <v>112</v>
      </c>
      <c r="G54" t="s">
        <v>111</v>
      </c>
      <c r="I54" s="8">
        <f>(I41-E25)/E25</f>
        <v>-0.28014826994457154</v>
      </c>
    </row>
    <row r="55" spans="7:9" ht="12.75">
      <c r="G55" t="s">
        <v>113</v>
      </c>
      <c r="I55" s="8">
        <f>(I35-E19)/E19</f>
        <v>-0.4317732359981067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Sol</dc:creator>
  <cp:keywords/>
  <dc:description/>
  <cp:lastModifiedBy> Kim Sol</cp:lastModifiedBy>
  <dcterms:created xsi:type="dcterms:W3CDTF">2005-02-15T03:21:42Z</dcterms:created>
  <dcterms:modified xsi:type="dcterms:W3CDTF">2011-01-13T00:32:03Z</dcterms:modified>
  <cp:category/>
  <cp:version/>
  <cp:contentType/>
  <cp:contentStatus/>
</cp:coreProperties>
</file>